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/>
  <mc:AlternateContent xmlns:mc="http://schemas.openxmlformats.org/markup-compatibility/2006">
    <mc:Choice Requires="x15">
      <x15ac:absPath xmlns:x15ac="http://schemas.microsoft.com/office/spreadsheetml/2010/11/ac" url="\\Server\kyosai\福祉課\003 貯金関係\（実験）積立試算\共済貯金積立シミュレーション\"/>
    </mc:Choice>
  </mc:AlternateContent>
  <xr:revisionPtr revIDLastSave="0" documentId="13_ncr:1_{40080B1E-575A-499C-864D-D0D2C3725C6A}" xr6:coauthVersionLast="47" xr6:coauthVersionMax="47" xr10:uidLastSave="{00000000-0000-0000-0000-000000000000}"/>
  <bookViews>
    <workbookView xWindow="-120" yWindow="-120" windowWidth="20730" windowHeight="11160" tabRatio="425" firstSheet="8" activeTab="8" xr2:uid="{00000000-000D-0000-FFFF-FFFF00000000}"/>
  </bookViews>
  <sheets>
    <sheet name="復興特別所得税 (29.1-3) (2)" sheetId="42" state="hidden" r:id="rId1"/>
    <sheet name="復興特別所得税 (29.1-3)" sheetId="41" state="hidden" r:id="rId2"/>
    <sheet name="復興特別所得税 (28.12まで)" sheetId="38" state="hidden" r:id="rId3"/>
    <sheet name="復興特別所得税 (iwaya) (29)" sheetId="40" state="hidden" r:id="rId4"/>
    <sheet name="復興特別所得税 (iwaya) (28)" sheetId="39" state="hidden" r:id="rId5"/>
    <sheet name="自由 (iwaya) (1.6) (定例のみ)" sheetId="37" state="hidden" r:id="rId6"/>
    <sheet name="自由 (iwaya) (1.5) (2)" sheetId="36" state="hidden" r:id="rId7"/>
    <sheet name="自由 (iwaya) (1.6)" sheetId="35" state="hidden" r:id="rId8"/>
    <sheet name="積立シミュレーション" sheetId="47" r:id="rId9"/>
    <sheet name="積立例1万円（西谷康一）  (岩谷) (2)" sheetId="28" state="hidden" r:id="rId10"/>
    <sheet name="Sheet1" sheetId="29" state="hidden" r:id="rId11"/>
    <sheet name="Sheet1 (2)" sheetId="43" state="hidden" r:id="rId12"/>
  </sheets>
  <definedNames>
    <definedName name="_xlnm.Print_Area" localSheetId="10">Sheet1!$A$1:$M$67</definedName>
    <definedName name="_xlnm.Print_Area" localSheetId="11">'Sheet1 (2)'!$A$1:$M$67</definedName>
    <definedName name="_xlnm.Print_Area" localSheetId="8">積立シミュレーション!$A$1:$T$29</definedName>
  </definedNames>
  <calcPr calcId="181029"/>
</workbook>
</file>

<file path=xl/calcChain.xml><?xml version="1.0" encoding="utf-8"?>
<calcChain xmlns="http://schemas.openxmlformats.org/spreadsheetml/2006/main">
  <c r="C16" i="47" l="1"/>
  <c r="C17" i="47" s="1"/>
  <c r="B16" i="47"/>
  <c r="I8" i="38"/>
  <c r="J8" i="38" s="1"/>
  <c r="I6" i="38"/>
  <c r="J6" i="38" s="1"/>
  <c r="G5" i="38"/>
  <c r="I5" i="42"/>
  <c r="J5" i="42" s="1"/>
  <c r="F30" i="43"/>
  <c r="I30" i="43" s="1"/>
  <c r="C65" i="43"/>
  <c r="H64" i="43"/>
  <c r="F64" i="43"/>
  <c r="I64" i="43" s="1"/>
  <c r="D64" i="43"/>
  <c r="I63" i="43"/>
  <c r="H63" i="43"/>
  <c r="F63" i="43"/>
  <c r="D63" i="43"/>
  <c r="H62" i="43"/>
  <c r="F62" i="43"/>
  <c r="D62" i="43"/>
  <c r="H61" i="43"/>
  <c r="F61" i="43"/>
  <c r="I61" i="43" s="1"/>
  <c r="D61" i="43"/>
  <c r="I60" i="43"/>
  <c r="H60" i="43"/>
  <c r="F60" i="43"/>
  <c r="D60" i="43"/>
  <c r="H59" i="43"/>
  <c r="F59" i="43"/>
  <c r="D59" i="43"/>
  <c r="H58" i="43"/>
  <c r="F58" i="43"/>
  <c r="I58" i="43" s="1"/>
  <c r="D58" i="43"/>
  <c r="I57" i="43"/>
  <c r="H57" i="43"/>
  <c r="F57" i="43"/>
  <c r="D57" i="43"/>
  <c r="H56" i="43"/>
  <c r="I56" i="43" s="1"/>
  <c r="F56" i="43"/>
  <c r="D56" i="43"/>
  <c r="H55" i="43"/>
  <c r="F55" i="43"/>
  <c r="I55" i="43" s="1"/>
  <c r="D55" i="43"/>
  <c r="I54" i="43"/>
  <c r="H54" i="43"/>
  <c r="F54" i="43"/>
  <c r="D54" i="43"/>
  <c r="H53" i="43"/>
  <c r="F53" i="43"/>
  <c r="D53" i="43"/>
  <c r="H52" i="43"/>
  <c r="F52" i="43"/>
  <c r="I52" i="43" s="1"/>
  <c r="D52" i="43"/>
  <c r="H51" i="43"/>
  <c r="I51" i="43" s="1"/>
  <c r="D51" i="43"/>
  <c r="C43" i="43"/>
  <c r="H31" i="43"/>
  <c r="F31" i="43"/>
  <c r="I31" i="43" s="1"/>
  <c r="D31" i="43"/>
  <c r="H30" i="43"/>
  <c r="D30" i="43"/>
  <c r="H29" i="43"/>
  <c r="I29" i="43"/>
  <c r="D29" i="43"/>
  <c r="C19" i="43"/>
  <c r="H18" i="43"/>
  <c r="I18" i="43" s="1"/>
  <c r="D18" i="43"/>
  <c r="H17" i="43"/>
  <c r="I17" i="43"/>
  <c r="D17" i="43"/>
  <c r="H16" i="43"/>
  <c r="F16" i="43"/>
  <c r="I16" i="43"/>
  <c r="D16" i="43"/>
  <c r="H15" i="43"/>
  <c r="I15" i="43" s="1"/>
  <c r="F15" i="43"/>
  <c r="D15" i="43"/>
  <c r="H14" i="43"/>
  <c r="F14" i="43"/>
  <c r="I14" i="43"/>
  <c r="D14" i="43"/>
  <c r="H13" i="43"/>
  <c r="F13" i="43"/>
  <c r="I13" i="43"/>
  <c r="D13" i="43"/>
  <c r="H12" i="43"/>
  <c r="I12" i="43" s="1"/>
  <c r="F12" i="43"/>
  <c r="D12" i="43"/>
  <c r="H11" i="43"/>
  <c r="I11" i="43" s="1"/>
  <c r="D11" i="43"/>
  <c r="H10" i="43"/>
  <c r="F10" i="43"/>
  <c r="I10" i="43" s="1"/>
  <c r="D10" i="43"/>
  <c r="H9" i="43"/>
  <c r="I9" i="43" s="1"/>
  <c r="F9" i="43"/>
  <c r="D9" i="43"/>
  <c r="H8" i="43"/>
  <c r="I8" i="43" s="1"/>
  <c r="F8" i="43"/>
  <c r="D8" i="43"/>
  <c r="H7" i="43"/>
  <c r="I7" i="43"/>
  <c r="F7" i="43"/>
  <c r="D7" i="43"/>
  <c r="H6" i="43"/>
  <c r="I6" i="43" s="1"/>
  <c r="D6" i="43"/>
  <c r="F36" i="29"/>
  <c r="I36" i="29"/>
  <c r="F35" i="29"/>
  <c r="F57" i="29"/>
  <c r="F64" i="29"/>
  <c r="F30" i="29"/>
  <c r="I30" i="29" s="1"/>
  <c r="F31" i="29"/>
  <c r="I31" i="29" s="1"/>
  <c r="F32" i="29"/>
  <c r="F33" i="29"/>
  <c r="F41" i="29"/>
  <c r="F63" i="29"/>
  <c r="F52" i="29"/>
  <c r="F53" i="29"/>
  <c r="I53" i="29" s="1"/>
  <c r="F54" i="29"/>
  <c r="F55" i="29"/>
  <c r="I55" i="29"/>
  <c r="F56" i="29"/>
  <c r="I56" i="29" s="1"/>
  <c r="C65" i="29"/>
  <c r="H64" i="29"/>
  <c r="I64" i="29" s="1"/>
  <c r="D64" i="29"/>
  <c r="H63" i="29"/>
  <c r="I63" i="29" s="1"/>
  <c r="D63" i="29"/>
  <c r="H62" i="29"/>
  <c r="I62" i="29" s="1"/>
  <c r="F62" i="29"/>
  <c r="D62" i="29"/>
  <c r="H61" i="29"/>
  <c r="I61" i="29" s="1"/>
  <c r="F61" i="29"/>
  <c r="D61" i="29"/>
  <c r="H60" i="29"/>
  <c r="I60" i="29"/>
  <c r="F60" i="29"/>
  <c r="D60" i="29"/>
  <c r="H59" i="29"/>
  <c r="F59" i="29"/>
  <c r="D59" i="29"/>
  <c r="H58" i="29"/>
  <c r="F58" i="29"/>
  <c r="D58" i="29"/>
  <c r="H57" i="29"/>
  <c r="I57" i="29" s="1"/>
  <c r="D57" i="29"/>
  <c r="H56" i="29"/>
  <c r="D56" i="29"/>
  <c r="H55" i="29"/>
  <c r="D55" i="29"/>
  <c r="H54" i="29"/>
  <c r="I54" i="29" s="1"/>
  <c r="D54" i="29"/>
  <c r="H53" i="29"/>
  <c r="D53" i="29"/>
  <c r="H52" i="29"/>
  <c r="I52" i="29" s="1"/>
  <c r="D52" i="29"/>
  <c r="H51" i="29"/>
  <c r="I51" i="29" s="1"/>
  <c r="D51" i="29"/>
  <c r="D33" i="29"/>
  <c r="H33" i="29"/>
  <c r="I33" i="29" s="1"/>
  <c r="G5" i="42"/>
  <c r="G6" i="42"/>
  <c r="G7" i="42"/>
  <c r="G8" i="42"/>
  <c r="J8" i="42" s="1"/>
  <c r="G9" i="42"/>
  <c r="G10" i="42"/>
  <c r="G11" i="42"/>
  <c r="G12" i="42"/>
  <c r="G13" i="42"/>
  <c r="D43" i="42"/>
  <c r="G131" i="42"/>
  <c r="E131" i="42"/>
  <c r="I129" i="42"/>
  <c r="J129" i="42" s="1"/>
  <c r="G129" i="42"/>
  <c r="E129" i="42"/>
  <c r="I128" i="42"/>
  <c r="G128" i="42"/>
  <c r="E128" i="42"/>
  <c r="I127" i="42"/>
  <c r="J127" i="42"/>
  <c r="G127" i="42"/>
  <c r="E127" i="42"/>
  <c r="I126" i="42"/>
  <c r="G126" i="42"/>
  <c r="E126" i="42"/>
  <c r="I125" i="42"/>
  <c r="G125" i="42"/>
  <c r="E125" i="42"/>
  <c r="I124" i="42"/>
  <c r="G124" i="42"/>
  <c r="E124" i="42"/>
  <c r="I123" i="42"/>
  <c r="J123" i="42" s="1"/>
  <c r="G123" i="42"/>
  <c r="E123" i="42"/>
  <c r="I122" i="42"/>
  <c r="G122" i="42"/>
  <c r="E122" i="42"/>
  <c r="I121" i="42"/>
  <c r="G121" i="42"/>
  <c r="E121" i="42"/>
  <c r="I120" i="42"/>
  <c r="G120" i="42"/>
  <c r="E120" i="42"/>
  <c r="I119" i="42"/>
  <c r="J119" i="42" s="1"/>
  <c r="G119" i="42"/>
  <c r="E119" i="42"/>
  <c r="I118" i="42"/>
  <c r="J118" i="42" s="1"/>
  <c r="G118" i="42"/>
  <c r="E118" i="42"/>
  <c r="G117" i="42"/>
  <c r="E117" i="42"/>
  <c r="I115" i="42"/>
  <c r="J115" i="42" s="1"/>
  <c r="G115" i="42"/>
  <c r="E115" i="42"/>
  <c r="I114" i="42"/>
  <c r="G114" i="42"/>
  <c r="J114" i="42" s="1"/>
  <c r="E114" i="42"/>
  <c r="I113" i="42"/>
  <c r="J113" i="42" s="1"/>
  <c r="G113" i="42"/>
  <c r="E113" i="42"/>
  <c r="I112" i="42"/>
  <c r="G112" i="42"/>
  <c r="E112" i="42"/>
  <c r="I111" i="42"/>
  <c r="J111" i="42"/>
  <c r="G111" i="42"/>
  <c r="E111" i="42"/>
  <c r="I110" i="42"/>
  <c r="G110" i="42"/>
  <c r="E110" i="42"/>
  <c r="I109" i="42"/>
  <c r="G109" i="42"/>
  <c r="E109" i="42"/>
  <c r="I108" i="42"/>
  <c r="J108" i="42" s="1"/>
  <c r="G108" i="42"/>
  <c r="E108" i="42"/>
  <c r="I107" i="42"/>
  <c r="J107" i="42" s="1"/>
  <c r="G107" i="42"/>
  <c r="E107" i="42"/>
  <c r="I106" i="42"/>
  <c r="J106" i="42" s="1"/>
  <c r="G106" i="42"/>
  <c r="E106" i="42"/>
  <c r="I105" i="42"/>
  <c r="J105" i="42" s="1"/>
  <c r="G105" i="42"/>
  <c r="E105" i="42"/>
  <c r="I104" i="42"/>
  <c r="J104" i="42" s="1"/>
  <c r="G104" i="42"/>
  <c r="E104" i="42"/>
  <c r="G103" i="42"/>
  <c r="E103" i="42"/>
  <c r="I101" i="42"/>
  <c r="G101" i="42"/>
  <c r="E101" i="42"/>
  <c r="I100" i="42"/>
  <c r="J100" i="42" s="1"/>
  <c r="G100" i="42"/>
  <c r="E100" i="42"/>
  <c r="I99" i="42"/>
  <c r="J99" i="42" s="1"/>
  <c r="G99" i="42"/>
  <c r="E99" i="42"/>
  <c r="I98" i="42"/>
  <c r="J98" i="42" s="1"/>
  <c r="G98" i="42"/>
  <c r="E98" i="42"/>
  <c r="I97" i="42"/>
  <c r="G97" i="42"/>
  <c r="E97" i="42"/>
  <c r="I96" i="42"/>
  <c r="G96" i="42"/>
  <c r="E96" i="42"/>
  <c r="I95" i="42"/>
  <c r="G95" i="42"/>
  <c r="E95" i="42"/>
  <c r="I94" i="42"/>
  <c r="J94" i="42" s="1"/>
  <c r="G94" i="42"/>
  <c r="E94" i="42"/>
  <c r="I93" i="42"/>
  <c r="G93" i="42"/>
  <c r="E93" i="42"/>
  <c r="I92" i="42"/>
  <c r="G92" i="42"/>
  <c r="E92" i="42"/>
  <c r="I91" i="42"/>
  <c r="G91" i="42"/>
  <c r="E91" i="42"/>
  <c r="I90" i="42"/>
  <c r="J90" i="42" s="1"/>
  <c r="G90" i="42"/>
  <c r="E90" i="42"/>
  <c r="G89" i="42"/>
  <c r="E89" i="42"/>
  <c r="I87" i="42"/>
  <c r="J87" i="42" s="1"/>
  <c r="G87" i="42"/>
  <c r="E87" i="42"/>
  <c r="I86" i="42"/>
  <c r="J86" i="42" s="1"/>
  <c r="G86" i="42"/>
  <c r="E86" i="42"/>
  <c r="I85" i="42"/>
  <c r="G85" i="42"/>
  <c r="E85" i="42"/>
  <c r="I84" i="42"/>
  <c r="G84" i="42"/>
  <c r="E84" i="42"/>
  <c r="I83" i="42"/>
  <c r="G83" i="42"/>
  <c r="E83" i="42"/>
  <c r="I82" i="42"/>
  <c r="G82" i="42"/>
  <c r="J82" i="42" s="1"/>
  <c r="E82" i="42"/>
  <c r="G81" i="42"/>
  <c r="E81" i="42"/>
  <c r="G80" i="42"/>
  <c r="E80" i="42"/>
  <c r="G79" i="42"/>
  <c r="E79" i="42"/>
  <c r="G78" i="42"/>
  <c r="E78" i="42"/>
  <c r="G77" i="42"/>
  <c r="E77" i="42"/>
  <c r="G76" i="42"/>
  <c r="E76" i="42"/>
  <c r="G75" i="42"/>
  <c r="E75" i="42"/>
  <c r="I73" i="42"/>
  <c r="J73" i="42" s="1"/>
  <c r="G73" i="42"/>
  <c r="E73" i="42"/>
  <c r="I72" i="42"/>
  <c r="G72" i="42"/>
  <c r="E72" i="42"/>
  <c r="I71" i="42"/>
  <c r="G71" i="42"/>
  <c r="E71" i="42"/>
  <c r="I70" i="42"/>
  <c r="G70" i="42"/>
  <c r="J70" i="42" s="1"/>
  <c r="E70" i="42"/>
  <c r="I69" i="42"/>
  <c r="G69" i="42"/>
  <c r="E69" i="42"/>
  <c r="I68" i="42"/>
  <c r="G68" i="42"/>
  <c r="E68" i="42"/>
  <c r="I67" i="42"/>
  <c r="G67" i="42"/>
  <c r="E67" i="42"/>
  <c r="I66" i="42"/>
  <c r="G66" i="42"/>
  <c r="J66" i="42" s="1"/>
  <c r="E66" i="42"/>
  <c r="I65" i="42"/>
  <c r="G65" i="42"/>
  <c r="E65" i="42"/>
  <c r="I64" i="42"/>
  <c r="G64" i="42"/>
  <c r="E64" i="42"/>
  <c r="I63" i="42"/>
  <c r="G63" i="42"/>
  <c r="E63" i="42"/>
  <c r="I62" i="42"/>
  <c r="G62" i="42"/>
  <c r="J62" i="42" s="1"/>
  <c r="E62" i="42"/>
  <c r="G61" i="42"/>
  <c r="E61" i="42"/>
  <c r="I58" i="42"/>
  <c r="G58" i="42"/>
  <c r="J58" i="42" s="1"/>
  <c r="E58" i="42"/>
  <c r="I57" i="42"/>
  <c r="J57" i="42" s="1"/>
  <c r="G57" i="42"/>
  <c r="E57" i="42"/>
  <c r="I56" i="42"/>
  <c r="J56" i="42" s="1"/>
  <c r="G56" i="42"/>
  <c r="E56" i="42"/>
  <c r="I55" i="42"/>
  <c r="G55" i="42"/>
  <c r="J55" i="42" s="1"/>
  <c r="E55" i="42"/>
  <c r="I54" i="42"/>
  <c r="G54" i="42"/>
  <c r="J54" i="42"/>
  <c r="E54" i="42"/>
  <c r="I53" i="42"/>
  <c r="J53" i="42" s="1"/>
  <c r="G53" i="42"/>
  <c r="E53" i="42"/>
  <c r="I52" i="42"/>
  <c r="J52" i="42" s="1"/>
  <c r="G52" i="42"/>
  <c r="E52" i="42"/>
  <c r="I51" i="42"/>
  <c r="G51" i="42"/>
  <c r="J51" i="42"/>
  <c r="E51" i="42"/>
  <c r="I50" i="42"/>
  <c r="J50" i="42" s="1"/>
  <c r="G50" i="42"/>
  <c r="E50" i="42"/>
  <c r="I49" i="42"/>
  <c r="J49" i="42"/>
  <c r="G49" i="42"/>
  <c r="E49" i="42"/>
  <c r="I48" i="42"/>
  <c r="G48" i="42"/>
  <c r="J48" i="42" s="1"/>
  <c r="E48" i="42"/>
  <c r="I47" i="42"/>
  <c r="J47" i="42"/>
  <c r="G47" i="42"/>
  <c r="E47" i="42"/>
  <c r="G46" i="42"/>
  <c r="E46" i="42"/>
  <c r="D46" i="42"/>
  <c r="I42" i="42"/>
  <c r="G42" i="42"/>
  <c r="J42" i="42" s="1"/>
  <c r="E42" i="42"/>
  <c r="I41" i="42"/>
  <c r="J41" i="42" s="1"/>
  <c r="G41" i="42"/>
  <c r="E41" i="42"/>
  <c r="I40" i="42"/>
  <c r="G40" i="42"/>
  <c r="J40" i="42" s="1"/>
  <c r="E40" i="42"/>
  <c r="I39" i="42"/>
  <c r="G39" i="42"/>
  <c r="J39" i="42" s="1"/>
  <c r="E39" i="42"/>
  <c r="I38" i="42"/>
  <c r="G38" i="42"/>
  <c r="E38" i="42"/>
  <c r="I37" i="42"/>
  <c r="G37" i="42"/>
  <c r="E37" i="42"/>
  <c r="I36" i="42"/>
  <c r="J36" i="42" s="1"/>
  <c r="G36" i="42"/>
  <c r="E36" i="42"/>
  <c r="I35" i="42"/>
  <c r="G35" i="42"/>
  <c r="J35" i="42"/>
  <c r="E35" i="42"/>
  <c r="I34" i="42"/>
  <c r="G34" i="42"/>
  <c r="E34" i="42"/>
  <c r="I33" i="42"/>
  <c r="G33" i="42"/>
  <c r="J33" i="42" s="1"/>
  <c r="E33" i="42"/>
  <c r="I32" i="42"/>
  <c r="J32" i="42" s="1"/>
  <c r="G32" i="42"/>
  <c r="E32" i="42"/>
  <c r="I31" i="42"/>
  <c r="G31" i="42"/>
  <c r="E31" i="42"/>
  <c r="I30" i="42"/>
  <c r="G30" i="42"/>
  <c r="E30" i="42"/>
  <c r="I29" i="42"/>
  <c r="G29" i="42"/>
  <c r="J29" i="42" s="1"/>
  <c r="E29" i="42"/>
  <c r="I28" i="42"/>
  <c r="J28" i="42" s="1"/>
  <c r="G28" i="42"/>
  <c r="E28" i="42"/>
  <c r="I27" i="42"/>
  <c r="G27" i="42"/>
  <c r="E27" i="42"/>
  <c r="I26" i="42"/>
  <c r="G26" i="42"/>
  <c r="E26" i="42"/>
  <c r="I25" i="42"/>
  <c r="G25" i="42"/>
  <c r="J25" i="42"/>
  <c r="E25" i="42"/>
  <c r="I24" i="42"/>
  <c r="G24" i="42"/>
  <c r="E24" i="42"/>
  <c r="I23" i="42"/>
  <c r="G23" i="42"/>
  <c r="E23" i="42"/>
  <c r="I22" i="42"/>
  <c r="G22" i="42"/>
  <c r="E22" i="42"/>
  <c r="I21" i="42"/>
  <c r="G21" i="42"/>
  <c r="E21" i="42"/>
  <c r="I20" i="42"/>
  <c r="G20" i="42"/>
  <c r="E20" i="42"/>
  <c r="I19" i="42"/>
  <c r="G19" i="42"/>
  <c r="E19" i="42"/>
  <c r="I18" i="42"/>
  <c r="G18" i="42"/>
  <c r="E18" i="42"/>
  <c r="I17" i="42"/>
  <c r="J17" i="42" s="1"/>
  <c r="G17" i="42"/>
  <c r="E17" i="42"/>
  <c r="I16" i="42"/>
  <c r="G16" i="42"/>
  <c r="E16" i="42"/>
  <c r="I15" i="42"/>
  <c r="G15" i="42"/>
  <c r="E15" i="42"/>
  <c r="I14" i="42"/>
  <c r="G14" i="42"/>
  <c r="E14" i="42"/>
  <c r="I13" i="42"/>
  <c r="E13" i="42"/>
  <c r="I12" i="42"/>
  <c r="E12" i="42"/>
  <c r="I11" i="42"/>
  <c r="J11" i="42" s="1"/>
  <c r="E11" i="42"/>
  <c r="I10" i="42"/>
  <c r="E10" i="42"/>
  <c r="I9" i="42"/>
  <c r="E9" i="42"/>
  <c r="I8" i="42"/>
  <c r="E8" i="42"/>
  <c r="I7" i="42"/>
  <c r="E7" i="42"/>
  <c r="I6" i="42"/>
  <c r="E6" i="42"/>
  <c r="E5" i="42"/>
  <c r="I4" i="42"/>
  <c r="E4" i="42"/>
  <c r="G134" i="41"/>
  <c r="E134" i="41"/>
  <c r="I132" i="41"/>
  <c r="G132" i="41"/>
  <c r="J132" i="41" s="1"/>
  <c r="E132" i="41"/>
  <c r="I131" i="41"/>
  <c r="J131" i="41" s="1"/>
  <c r="G131" i="41"/>
  <c r="E131" i="41"/>
  <c r="I130" i="41"/>
  <c r="J130" i="41" s="1"/>
  <c r="G130" i="41"/>
  <c r="E130" i="41"/>
  <c r="I129" i="41"/>
  <c r="G129" i="41"/>
  <c r="J129" i="41" s="1"/>
  <c r="E129" i="41"/>
  <c r="I128" i="41"/>
  <c r="J128" i="41" s="1"/>
  <c r="G128" i="41"/>
  <c r="E128" i="41"/>
  <c r="I127" i="41"/>
  <c r="J127" i="41" s="1"/>
  <c r="G127" i="41"/>
  <c r="E127" i="41"/>
  <c r="I126" i="41"/>
  <c r="G126" i="41"/>
  <c r="J126" i="41" s="1"/>
  <c r="E126" i="41"/>
  <c r="I125" i="41"/>
  <c r="J125" i="41" s="1"/>
  <c r="G125" i="41"/>
  <c r="E125" i="41"/>
  <c r="I124" i="41"/>
  <c r="J124" i="41" s="1"/>
  <c r="G124" i="41"/>
  <c r="E124" i="41"/>
  <c r="I123" i="41"/>
  <c r="G123" i="41"/>
  <c r="J123" i="41" s="1"/>
  <c r="E123" i="41"/>
  <c r="I122" i="41"/>
  <c r="J122" i="41" s="1"/>
  <c r="G122" i="41"/>
  <c r="E122" i="41"/>
  <c r="I121" i="41"/>
  <c r="J121" i="41" s="1"/>
  <c r="G121" i="41"/>
  <c r="E121" i="41"/>
  <c r="G120" i="41"/>
  <c r="E120" i="41"/>
  <c r="I118" i="41"/>
  <c r="J118" i="41"/>
  <c r="G118" i="41"/>
  <c r="E118" i="41"/>
  <c r="I117" i="41"/>
  <c r="G117" i="41"/>
  <c r="E117" i="41"/>
  <c r="I116" i="41"/>
  <c r="J116" i="41" s="1"/>
  <c r="G116" i="41"/>
  <c r="E116" i="41"/>
  <c r="I115" i="41"/>
  <c r="G115" i="41"/>
  <c r="J115" i="41" s="1"/>
  <c r="E115" i="41"/>
  <c r="I114" i="41"/>
  <c r="J114" i="41" s="1"/>
  <c r="G114" i="41"/>
  <c r="E114" i="41"/>
  <c r="I113" i="41"/>
  <c r="J113" i="41" s="1"/>
  <c r="G113" i="41"/>
  <c r="E113" i="41"/>
  <c r="I112" i="41"/>
  <c r="G112" i="41"/>
  <c r="E112" i="41"/>
  <c r="I111" i="41"/>
  <c r="G111" i="41"/>
  <c r="E111" i="41"/>
  <c r="I110" i="41"/>
  <c r="G110" i="41"/>
  <c r="J110" i="41" s="1"/>
  <c r="E110" i="41"/>
  <c r="I109" i="41"/>
  <c r="J109" i="41" s="1"/>
  <c r="G109" i="41"/>
  <c r="E109" i="41"/>
  <c r="I108" i="41"/>
  <c r="G108" i="41"/>
  <c r="J108" i="41" s="1"/>
  <c r="E108" i="41"/>
  <c r="I107" i="41"/>
  <c r="G107" i="41"/>
  <c r="E107" i="41"/>
  <c r="G106" i="41"/>
  <c r="E106" i="41"/>
  <c r="I104" i="41"/>
  <c r="G104" i="41"/>
  <c r="E104" i="41"/>
  <c r="I103" i="41"/>
  <c r="G103" i="41"/>
  <c r="E103" i="41"/>
  <c r="I102" i="41"/>
  <c r="J102" i="41" s="1"/>
  <c r="G102" i="41"/>
  <c r="E102" i="41"/>
  <c r="I101" i="41"/>
  <c r="J101" i="41" s="1"/>
  <c r="G101" i="41"/>
  <c r="E101" i="41"/>
  <c r="I100" i="41"/>
  <c r="G100" i="41"/>
  <c r="E100" i="41"/>
  <c r="I99" i="41"/>
  <c r="G99" i="41"/>
  <c r="E99" i="41"/>
  <c r="I98" i="41"/>
  <c r="J98" i="41"/>
  <c r="G98" i="41"/>
  <c r="E98" i="41"/>
  <c r="I97" i="41"/>
  <c r="G97" i="41"/>
  <c r="E97" i="41"/>
  <c r="I96" i="41"/>
  <c r="J96" i="41"/>
  <c r="G96" i="41"/>
  <c r="E96" i="41"/>
  <c r="I95" i="41"/>
  <c r="G95" i="41"/>
  <c r="E95" i="41"/>
  <c r="I94" i="41"/>
  <c r="J94" i="41" s="1"/>
  <c r="G94" i="41"/>
  <c r="E94" i="41"/>
  <c r="I93" i="41"/>
  <c r="G93" i="41"/>
  <c r="J93" i="41" s="1"/>
  <c r="E93" i="41"/>
  <c r="G92" i="41"/>
  <c r="E92" i="41"/>
  <c r="I90" i="41"/>
  <c r="G90" i="41"/>
  <c r="J90" i="41" s="1"/>
  <c r="E90" i="41"/>
  <c r="J89" i="41"/>
  <c r="I89" i="41"/>
  <c r="G89" i="41"/>
  <c r="E89" i="41"/>
  <c r="I88" i="41"/>
  <c r="J88" i="41"/>
  <c r="G88" i="41"/>
  <c r="E88" i="41"/>
  <c r="I87" i="41"/>
  <c r="G87" i="41"/>
  <c r="E87" i="41"/>
  <c r="J86" i="41"/>
  <c r="I86" i="41"/>
  <c r="G86" i="41"/>
  <c r="E86" i="41"/>
  <c r="I85" i="41"/>
  <c r="G85" i="41"/>
  <c r="E85" i="41"/>
  <c r="G84" i="41"/>
  <c r="E84" i="41"/>
  <c r="G83" i="41"/>
  <c r="E83" i="41"/>
  <c r="G82" i="41"/>
  <c r="E82" i="41"/>
  <c r="G81" i="41"/>
  <c r="E81" i="41"/>
  <c r="G80" i="41"/>
  <c r="E80" i="41"/>
  <c r="G79" i="41"/>
  <c r="E79" i="41"/>
  <c r="G78" i="41"/>
  <c r="E78" i="41"/>
  <c r="I76" i="41"/>
  <c r="G76" i="41"/>
  <c r="E76" i="41"/>
  <c r="I75" i="41"/>
  <c r="J75" i="41" s="1"/>
  <c r="G75" i="41"/>
  <c r="E75" i="41"/>
  <c r="I74" i="41"/>
  <c r="J74" i="41" s="1"/>
  <c r="G74" i="41"/>
  <c r="E74" i="41"/>
  <c r="I73" i="41"/>
  <c r="J73" i="41" s="1"/>
  <c r="G73" i="41"/>
  <c r="E73" i="41"/>
  <c r="I72" i="41"/>
  <c r="J72" i="41" s="1"/>
  <c r="G72" i="41"/>
  <c r="E72" i="41"/>
  <c r="I71" i="41"/>
  <c r="G71" i="41"/>
  <c r="J71" i="41" s="1"/>
  <c r="E71" i="41"/>
  <c r="I70" i="41"/>
  <c r="G70" i="41"/>
  <c r="E70" i="41"/>
  <c r="I69" i="41"/>
  <c r="J69" i="41" s="1"/>
  <c r="G69" i="41"/>
  <c r="E69" i="41"/>
  <c r="I68" i="41"/>
  <c r="G68" i="41"/>
  <c r="E68" i="41"/>
  <c r="I67" i="41"/>
  <c r="J67" i="41"/>
  <c r="G67" i="41"/>
  <c r="E67" i="41"/>
  <c r="I66" i="41"/>
  <c r="J66" i="41"/>
  <c r="G66" i="41"/>
  <c r="E66" i="41"/>
  <c r="I65" i="41"/>
  <c r="J65" i="41" s="1"/>
  <c r="G65" i="41"/>
  <c r="E65" i="41"/>
  <c r="G64" i="41"/>
  <c r="E64" i="41"/>
  <c r="I61" i="41"/>
  <c r="G61" i="41"/>
  <c r="J61" i="41" s="1"/>
  <c r="E61" i="41"/>
  <c r="I60" i="41"/>
  <c r="G60" i="41"/>
  <c r="E60" i="41"/>
  <c r="I59" i="41"/>
  <c r="G59" i="41"/>
  <c r="E59" i="41"/>
  <c r="J58" i="41"/>
  <c r="I58" i="41"/>
  <c r="G58" i="41"/>
  <c r="E58" i="41"/>
  <c r="I57" i="41"/>
  <c r="J57" i="41" s="1"/>
  <c r="G57" i="41"/>
  <c r="E57" i="41"/>
  <c r="I56" i="41"/>
  <c r="G56" i="41"/>
  <c r="J56" i="41" s="1"/>
  <c r="E56" i="41"/>
  <c r="I55" i="41"/>
  <c r="J55" i="41" s="1"/>
  <c r="G55" i="41"/>
  <c r="E55" i="41"/>
  <c r="I54" i="41"/>
  <c r="G54" i="41"/>
  <c r="E54" i="41"/>
  <c r="I53" i="41"/>
  <c r="J53" i="41" s="1"/>
  <c r="G53" i="41"/>
  <c r="E53" i="41"/>
  <c r="I52" i="41"/>
  <c r="G52" i="41"/>
  <c r="J52" i="41" s="1"/>
  <c r="E52" i="41"/>
  <c r="I51" i="41"/>
  <c r="G51" i="41"/>
  <c r="J51" i="41" s="1"/>
  <c r="E51" i="41"/>
  <c r="I50" i="41"/>
  <c r="J50" i="41" s="1"/>
  <c r="G50" i="41"/>
  <c r="E50" i="41"/>
  <c r="G49" i="41"/>
  <c r="E49" i="41"/>
  <c r="D49" i="41"/>
  <c r="D46" i="41"/>
  <c r="I45" i="41"/>
  <c r="G45" i="41"/>
  <c r="E45" i="41"/>
  <c r="I44" i="41"/>
  <c r="J44" i="41" s="1"/>
  <c r="G44" i="41"/>
  <c r="E44" i="41"/>
  <c r="I43" i="41"/>
  <c r="G43" i="41"/>
  <c r="E43" i="41"/>
  <c r="I42" i="41"/>
  <c r="G42" i="41"/>
  <c r="J42" i="41"/>
  <c r="E42" i="41"/>
  <c r="I41" i="41"/>
  <c r="J41" i="41" s="1"/>
  <c r="G41" i="41"/>
  <c r="E41" i="41"/>
  <c r="I40" i="41"/>
  <c r="G40" i="41"/>
  <c r="J40" i="41" s="1"/>
  <c r="E40" i="41"/>
  <c r="I39" i="41"/>
  <c r="G39" i="41"/>
  <c r="J39" i="41"/>
  <c r="E39" i="41"/>
  <c r="I38" i="41"/>
  <c r="J38" i="41" s="1"/>
  <c r="G38" i="41"/>
  <c r="E38" i="41"/>
  <c r="I37" i="41"/>
  <c r="I46" i="41"/>
  <c r="G37" i="41"/>
  <c r="J37" i="41" s="1"/>
  <c r="E37" i="41"/>
  <c r="I36" i="41"/>
  <c r="G36" i="41"/>
  <c r="J36" i="41" s="1"/>
  <c r="E36" i="41"/>
  <c r="I33" i="41"/>
  <c r="G33" i="41"/>
  <c r="J33" i="41" s="1"/>
  <c r="E33" i="41"/>
  <c r="I32" i="41"/>
  <c r="J32" i="41" s="1"/>
  <c r="G32" i="41"/>
  <c r="E32" i="41"/>
  <c r="I31" i="41"/>
  <c r="J31" i="41" s="1"/>
  <c r="G31" i="41"/>
  <c r="E31" i="41"/>
  <c r="I30" i="41"/>
  <c r="G30" i="41"/>
  <c r="J30" i="41" s="1"/>
  <c r="E30" i="41"/>
  <c r="I29" i="41"/>
  <c r="J29" i="41" s="1"/>
  <c r="G29" i="41"/>
  <c r="E29" i="41"/>
  <c r="I28" i="41"/>
  <c r="J28" i="41" s="1"/>
  <c r="G28" i="41"/>
  <c r="E28" i="41"/>
  <c r="I27" i="41"/>
  <c r="G27" i="41"/>
  <c r="J27" i="41" s="1"/>
  <c r="E27" i="41"/>
  <c r="I26" i="41"/>
  <c r="J26" i="41" s="1"/>
  <c r="G26" i="41"/>
  <c r="E26" i="41"/>
  <c r="I25" i="41"/>
  <c r="J25" i="41"/>
  <c r="G25" i="41"/>
  <c r="E25" i="41"/>
  <c r="I24" i="41"/>
  <c r="J24" i="41" s="1"/>
  <c r="G24" i="41"/>
  <c r="E24" i="41"/>
  <c r="I23" i="41"/>
  <c r="J23" i="41"/>
  <c r="G23" i="41"/>
  <c r="E23" i="41"/>
  <c r="I22" i="41"/>
  <c r="G22" i="41"/>
  <c r="E22" i="41"/>
  <c r="I21" i="41"/>
  <c r="J21" i="41" s="1"/>
  <c r="G21" i="41"/>
  <c r="E21" i="41"/>
  <c r="I20" i="41"/>
  <c r="G20" i="41"/>
  <c r="E20" i="41"/>
  <c r="I19" i="41"/>
  <c r="G19" i="41"/>
  <c r="J19" i="41" s="1"/>
  <c r="E19" i="41"/>
  <c r="I18" i="41"/>
  <c r="J18" i="41" s="1"/>
  <c r="G18" i="41"/>
  <c r="E18" i="41"/>
  <c r="I17" i="41"/>
  <c r="G17" i="41"/>
  <c r="E17" i="41"/>
  <c r="I16" i="41"/>
  <c r="G16" i="41"/>
  <c r="J16" i="41"/>
  <c r="E16" i="41"/>
  <c r="I15" i="41"/>
  <c r="J15" i="41" s="1"/>
  <c r="G15" i="41"/>
  <c r="E15" i="41"/>
  <c r="I14" i="41"/>
  <c r="G14" i="41"/>
  <c r="J14" i="41" s="1"/>
  <c r="E14" i="41"/>
  <c r="I13" i="41"/>
  <c r="J13" i="41" s="1"/>
  <c r="G13" i="41"/>
  <c r="E13" i="41"/>
  <c r="I12" i="41"/>
  <c r="J12" i="41" s="1"/>
  <c r="G12" i="41"/>
  <c r="E12" i="41"/>
  <c r="I11" i="41"/>
  <c r="G11" i="41"/>
  <c r="J11" i="41" s="1"/>
  <c r="E11" i="41"/>
  <c r="I10" i="41"/>
  <c r="J10" i="41" s="1"/>
  <c r="G10" i="41"/>
  <c r="E10" i="41"/>
  <c r="I9" i="41"/>
  <c r="J9" i="41" s="1"/>
  <c r="G9" i="41"/>
  <c r="E9" i="41"/>
  <c r="I8" i="41"/>
  <c r="G8" i="41"/>
  <c r="E8" i="41"/>
  <c r="I7" i="41"/>
  <c r="G7" i="41"/>
  <c r="E7" i="41"/>
  <c r="I6" i="41"/>
  <c r="J6" i="41"/>
  <c r="G6" i="41"/>
  <c r="E6" i="41"/>
  <c r="I5" i="41"/>
  <c r="J5" i="41" s="1"/>
  <c r="G5" i="41"/>
  <c r="E5" i="41"/>
  <c r="I4" i="41"/>
  <c r="J4" i="41" s="1"/>
  <c r="G4" i="41"/>
  <c r="E4" i="41"/>
  <c r="D46" i="38"/>
  <c r="I45" i="38"/>
  <c r="J45" i="38" s="1"/>
  <c r="G45" i="38"/>
  <c r="E45" i="38"/>
  <c r="I44" i="38"/>
  <c r="J44" i="38" s="1"/>
  <c r="G44" i="38"/>
  <c r="E44" i="38"/>
  <c r="I43" i="38"/>
  <c r="J43" i="38"/>
  <c r="G43" i="38"/>
  <c r="E43" i="38"/>
  <c r="I42" i="38"/>
  <c r="G42" i="38"/>
  <c r="E42" i="38"/>
  <c r="I41" i="38"/>
  <c r="J41" i="38" s="1"/>
  <c r="G41" i="38"/>
  <c r="E41" i="38"/>
  <c r="I40" i="38"/>
  <c r="G40" i="38"/>
  <c r="E40" i="38"/>
  <c r="I39" i="38"/>
  <c r="G39" i="38"/>
  <c r="J39" i="38" s="1"/>
  <c r="E39" i="38"/>
  <c r="I38" i="38"/>
  <c r="G38" i="38"/>
  <c r="E38" i="38"/>
  <c r="I37" i="38"/>
  <c r="G37" i="38"/>
  <c r="E37" i="38"/>
  <c r="I36" i="38"/>
  <c r="J36" i="38" s="1"/>
  <c r="G36" i="38"/>
  <c r="E36" i="38"/>
  <c r="E49" i="38"/>
  <c r="G49" i="38"/>
  <c r="G130" i="40"/>
  <c r="E130" i="40"/>
  <c r="I128" i="40"/>
  <c r="G128" i="40"/>
  <c r="E128" i="40"/>
  <c r="J127" i="40"/>
  <c r="I127" i="40"/>
  <c r="G127" i="40"/>
  <c r="E127" i="40"/>
  <c r="J126" i="40"/>
  <c r="I126" i="40"/>
  <c r="G126" i="40"/>
  <c r="E126" i="40"/>
  <c r="I125" i="40"/>
  <c r="J125" i="40" s="1"/>
  <c r="G125" i="40"/>
  <c r="E125" i="40"/>
  <c r="I124" i="40"/>
  <c r="J124" i="40"/>
  <c r="G124" i="40"/>
  <c r="E124" i="40"/>
  <c r="I123" i="40"/>
  <c r="J123" i="40" s="1"/>
  <c r="G123" i="40"/>
  <c r="E123" i="40"/>
  <c r="I122" i="40"/>
  <c r="J122" i="40" s="1"/>
  <c r="G122" i="40"/>
  <c r="E122" i="40"/>
  <c r="I121" i="40"/>
  <c r="J121" i="40"/>
  <c r="G121" i="40"/>
  <c r="E121" i="40"/>
  <c r="I120" i="40"/>
  <c r="J120" i="40"/>
  <c r="G120" i="40"/>
  <c r="E120" i="40"/>
  <c r="I119" i="40"/>
  <c r="J119" i="40" s="1"/>
  <c r="G119" i="40"/>
  <c r="E119" i="40"/>
  <c r="I118" i="40"/>
  <c r="J118" i="40"/>
  <c r="G118" i="40"/>
  <c r="E118" i="40"/>
  <c r="I117" i="40"/>
  <c r="J117" i="40"/>
  <c r="G117" i="40"/>
  <c r="E117" i="40"/>
  <c r="G116" i="40"/>
  <c r="E116" i="40"/>
  <c r="I114" i="40"/>
  <c r="J114" i="40"/>
  <c r="G114" i="40"/>
  <c r="E114" i="40"/>
  <c r="I113" i="40"/>
  <c r="G113" i="40"/>
  <c r="E113" i="40"/>
  <c r="I112" i="40"/>
  <c r="G112" i="40"/>
  <c r="E112" i="40"/>
  <c r="I111" i="40"/>
  <c r="J111" i="40" s="1"/>
  <c r="G111" i="40"/>
  <c r="E111" i="40"/>
  <c r="I110" i="40"/>
  <c r="J110" i="40" s="1"/>
  <c r="G110" i="40"/>
  <c r="E110" i="40"/>
  <c r="I109" i="40"/>
  <c r="G109" i="40"/>
  <c r="J109" i="40" s="1"/>
  <c r="E109" i="40"/>
  <c r="I108" i="40"/>
  <c r="J108" i="40" s="1"/>
  <c r="G108" i="40"/>
  <c r="E108" i="40"/>
  <c r="I107" i="40"/>
  <c r="G107" i="40"/>
  <c r="J107" i="40" s="1"/>
  <c r="E107" i="40"/>
  <c r="I106" i="40"/>
  <c r="J106" i="40" s="1"/>
  <c r="G106" i="40"/>
  <c r="E106" i="40"/>
  <c r="I105" i="40"/>
  <c r="G105" i="40"/>
  <c r="E105" i="40"/>
  <c r="I104" i="40"/>
  <c r="J104" i="40" s="1"/>
  <c r="G104" i="40"/>
  <c r="E104" i="40"/>
  <c r="I103" i="40"/>
  <c r="J103" i="40"/>
  <c r="G103" i="40"/>
  <c r="E103" i="40"/>
  <c r="G102" i="40"/>
  <c r="E102" i="40"/>
  <c r="I100" i="40"/>
  <c r="G100" i="40"/>
  <c r="E100" i="40"/>
  <c r="I99" i="40"/>
  <c r="G99" i="40"/>
  <c r="E99" i="40"/>
  <c r="I98" i="40"/>
  <c r="G98" i="40"/>
  <c r="J98" i="40" s="1"/>
  <c r="E98" i="40"/>
  <c r="I97" i="40"/>
  <c r="G97" i="40"/>
  <c r="E97" i="40"/>
  <c r="I96" i="40"/>
  <c r="G96" i="40"/>
  <c r="E96" i="40"/>
  <c r="I95" i="40"/>
  <c r="G95" i="40"/>
  <c r="J95" i="40" s="1"/>
  <c r="E95" i="40"/>
  <c r="I94" i="40"/>
  <c r="J94" i="40" s="1"/>
  <c r="G94" i="40"/>
  <c r="E94" i="40"/>
  <c r="I93" i="40"/>
  <c r="G93" i="40"/>
  <c r="E93" i="40"/>
  <c r="I92" i="40"/>
  <c r="G92" i="40"/>
  <c r="E92" i="40"/>
  <c r="I91" i="40"/>
  <c r="G91" i="40"/>
  <c r="E91" i="40"/>
  <c r="I90" i="40"/>
  <c r="G90" i="40"/>
  <c r="E90" i="40"/>
  <c r="I89" i="40"/>
  <c r="G89" i="40"/>
  <c r="E89" i="40"/>
  <c r="G88" i="40"/>
  <c r="E88" i="40"/>
  <c r="I86" i="40"/>
  <c r="G86" i="40"/>
  <c r="J86" i="40"/>
  <c r="E86" i="40"/>
  <c r="I85" i="40"/>
  <c r="G85" i="40"/>
  <c r="E85" i="40"/>
  <c r="I84" i="40"/>
  <c r="J84" i="40" s="1"/>
  <c r="G84" i="40"/>
  <c r="E84" i="40"/>
  <c r="I83" i="40"/>
  <c r="G83" i="40"/>
  <c r="J83" i="40"/>
  <c r="E83" i="40"/>
  <c r="I82" i="40"/>
  <c r="J82" i="40" s="1"/>
  <c r="G82" i="40"/>
  <c r="E82" i="40"/>
  <c r="I81" i="40"/>
  <c r="J81" i="40" s="1"/>
  <c r="G81" i="40"/>
  <c r="E81" i="40"/>
  <c r="G80" i="40"/>
  <c r="E80" i="40"/>
  <c r="G79" i="40"/>
  <c r="E79" i="40"/>
  <c r="G78" i="40"/>
  <c r="E78" i="40"/>
  <c r="G77" i="40"/>
  <c r="E77" i="40"/>
  <c r="G76" i="40"/>
  <c r="E76" i="40"/>
  <c r="G75" i="40"/>
  <c r="E75" i="40"/>
  <c r="G74" i="40"/>
  <c r="E74" i="40"/>
  <c r="I72" i="40"/>
  <c r="G72" i="40"/>
  <c r="E72" i="40"/>
  <c r="I71" i="40"/>
  <c r="G71" i="40"/>
  <c r="E71" i="40"/>
  <c r="I70" i="40"/>
  <c r="J70" i="40" s="1"/>
  <c r="G70" i="40"/>
  <c r="E70" i="40"/>
  <c r="I69" i="40"/>
  <c r="G69" i="40"/>
  <c r="E69" i="40"/>
  <c r="I68" i="40"/>
  <c r="G68" i="40"/>
  <c r="E68" i="40"/>
  <c r="I67" i="40"/>
  <c r="J67" i="40"/>
  <c r="G67" i="40"/>
  <c r="E67" i="40"/>
  <c r="I66" i="40"/>
  <c r="J66" i="40"/>
  <c r="G66" i="40"/>
  <c r="E66" i="40"/>
  <c r="I65" i="40"/>
  <c r="G65" i="40"/>
  <c r="E65" i="40"/>
  <c r="I64" i="40"/>
  <c r="G64" i="40"/>
  <c r="E64" i="40"/>
  <c r="I63" i="40"/>
  <c r="J63" i="40" s="1"/>
  <c r="G63" i="40"/>
  <c r="E63" i="40"/>
  <c r="I62" i="40"/>
  <c r="G62" i="40"/>
  <c r="E62" i="40"/>
  <c r="I61" i="40"/>
  <c r="G61" i="40"/>
  <c r="E61" i="40"/>
  <c r="G60" i="40"/>
  <c r="E60" i="40"/>
  <c r="I57" i="40"/>
  <c r="J57" i="40" s="1"/>
  <c r="G57" i="40"/>
  <c r="E57" i="40"/>
  <c r="I56" i="40"/>
  <c r="J56" i="40" s="1"/>
  <c r="G56" i="40"/>
  <c r="E56" i="40"/>
  <c r="I55" i="40"/>
  <c r="J55" i="40" s="1"/>
  <c r="G55" i="40"/>
  <c r="E55" i="40"/>
  <c r="I54" i="40"/>
  <c r="J54" i="40" s="1"/>
  <c r="G54" i="40"/>
  <c r="E54" i="40"/>
  <c r="I53" i="40"/>
  <c r="J53" i="40" s="1"/>
  <c r="G53" i="40"/>
  <c r="E53" i="40"/>
  <c r="I52" i="40"/>
  <c r="J52" i="40" s="1"/>
  <c r="G52" i="40"/>
  <c r="E52" i="40"/>
  <c r="I51" i="40"/>
  <c r="J51" i="40" s="1"/>
  <c r="G51" i="40"/>
  <c r="E51" i="40"/>
  <c r="I50" i="40"/>
  <c r="J50" i="40" s="1"/>
  <c r="G50" i="40"/>
  <c r="E50" i="40"/>
  <c r="I49" i="40"/>
  <c r="J49" i="40" s="1"/>
  <c r="G49" i="40"/>
  <c r="E49" i="40"/>
  <c r="I48" i="40"/>
  <c r="J48" i="40" s="1"/>
  <c r="G48" i="40"/>
  <c r="E48" i="40"/>
  <c r="I47" i="40"/>
  <c r="G47" i="40"/>
  <c r="E47" i="40"/>
  <c r="I46" i="40"/>
  <c r="J46" i="40" s="1"/>
  <c r="G46" i="40"/>
  <c r="E46" i="40"/>
  <c r="G45" i="40"/>
  <c r="E45" i="40"/>
  <c r="D43" i="40"/>
  <c r="I42" i="40"/>
  <c r="G42" i="40"/>
  <c r="J42" i="40" s="1"/>
  <c r="E42" i="40"/>
  <c r="I41" i="40"/>
  <c r="G41" i="40"/>
  <c r="E41" i="40"/>
  <c r="I40" i="40"/>
  <c r="J40" i="40" s="1"/>
  <c r="G40" i="40"/>
  <c r="E40" i="40"/>
  <c r="J39" i="40"/>
  <c r="I39" i="40"/>
  <c r="G39" i="40"/>
  <c r="E39" i="40"/>
  <c r="I38" i="40"/>
  <c r="J38" i="40" s="1"/>
  <c r="G38" i="40"/>
  <c r="E38" i="40"/>
  <c r="I37" i="40"/>
  <c r="G37" i="40"/>
  <c r="E37" i="40"/>
  <c r="J36" i="40"/>
  <c r="I36" i="40"/>
  <c r="G36" i="40"/>
  <c r="E36" i="40"/>
  <c r="I35" i="40"/>
  <c r="G35" i="40"/>
  <c r="J35" i="40" s="1"/>
  <c r="E35" i="40"/>
  <c r="I34" i="40"/>
  <c r="J34" i="40" s="1"/>
  <c r="G34" i="40"/>
  <c r="E34" i="40"/>
  <c r="I33" i="40"/>
  <c r="J33" i="40" s="1"/>
  <c r="G33" i="40"/>
  <c r="E33" i="40"/>
  <c r="I32" i="40"/>
  <c r="G32" i="40"/>
  <c r="J32" i="40"/>
  <c r="E32" i="40"/>
  <c r="I31" i="40"/>
  <c r="J31" i="40" s="1"/>
  <c r="G31" i="40"/>
  <c r="E31" i="40"/>
  <c r="I30" i="40"/>
  <c r="J30" i="40" s="1"/>
  <c r="G30" i="40"/>
  <c r="E30" i="40"/>
  <c r="I29" i="40"/>
  <c r="G29" i="40"/>
  <c r="J29" i="40"/>
  <c r="E29" i="40"/>
  <c r="I28" i="40"/>
  <c r="J28" i="40" s="1"/>
  <c r="G28" i="40"/>
  <c r="E28" i="40"/>
  <c r="I27" i="40"/>
  <c r="J27" i="40" s="1"/>
  <c r="G27" i="40"/>
  <c r="E27" i="40"/>
  <c r="I26" i="40"/>
  <c r="G26" i="40"/>
  <c r="J26" i="40"/>
  <c r="E26" i="40"/>
  <c r="I25" i="40"/>
  <c r="J25" i="40" s="1"/>
  <c r="G25" i="40"/>
  <c r="E25" i="40"/>
  <c r="I24" i="40"/>
  <c r="G24" i="40"/>
  <c r="E24" i="40"/>
  <c r="I23" i="40"/>
  <c r="G23" i="40"/>
  <c r="E23" i="40"/>
  <c r="I22" i="40"/>
  <c r="J22" i="40"/>
  <c r="G22" i="40"/>
  <c r="E22" i="40"/>
  <c r="I21" i="40"/>
  <c r="G21" i="40"/>
  <c r="E21" i="40"/>
  <c r="I20" i="40"/>
  <c r="J20" i="40" s="1"/>
  <c r="G20" i="40"/>
  <c r="E20" i="40"/>
  <c r="I19" i="40"/>
  <c r="G19" i="40"/>
  <c r="J19" i="40" s="1"/>
  <c r="E19" i="40"/>
  <c r="I18" i="40"/>
  <c r="J18" i="40" s="1"/>
  <c r="G18" i="40"/>
  <c r="E18" i="40"/>
  <c r="I17" i="40"/>
  <c r="J17" i="40" s="1"/>
  <c r="G17" i="40"/>
  <c r="E17" i="40"/>
  <c r="I16" i="40"/>
  <c r="G16" i="40"/>
  <c r="E16" i="40"/>
  <c r="I15" i="40"/>
  <c r="G15" i="40"/>
  <c r="E15" i="40"/>
  <c r="I14" i="40"/>
  <c r="G14" i="40"/>
  <c r="J14" i="40" s="1"/>
  <c r="E14" i="40"/>
  <c r="I13" i="40"/>
  <c r="J13" i="40" s="1"/>
  <c r="G13" i="40"/>
  <c r="E13" i="40"/>
  <c r="I12" i="40"/>
  <c r="J12" i="40" s="1"/>
  <c r="G12" i="40"/>
  <c r="E12" i="40"/>
  <c r="I11" i="40"/>
  <c r="J11" i="40"/>
  <c r="G11" i="40"/>
  <c r="E11" i="40"/>
  <c r="I10" i="40"/>
  <c r="G10" i="40"/>
  <c r="E10" i="40"/>
  <c r="I9" i="40"/>
  <c r="J9" i="40"/>
  <c r="G9" i="40"/>
  <c r="E9" i="40"/>
  <c r="I8" i="40"/>
  <c r="G8" i="40"/>
  <c r="J8" i="40" s="1"/>
  <c r="E8" i="40"/>
  <c r="I7" i="40"/>
  <c r="J7" i="40" s="1"/>
  <c r="G7" i="40"/>
  <c r="E7" i="40"/>
  <c r="I6" i="40"/>
  <c r="G6" i="40"/>
  <c r="E6" i="40"/>
  <c r="I5" i="40"/>
  <c r="J5" i="40" s="1"/>
  <c r="G5" i="40"/>
  <c r="E5" i="40"/>
  <c r="I4" i="40"/>
  <c r="G4" i="40"/>
  <c r="E4" i="40"/>
  <c r="G130" i="39"/>
  <c r="E130" i="39"/>
  <c r="I128" i="39"/>
  <c r="G128" i="39"/>
  <c r="J128" i="39" s="1"/>
  <c r="E128" i="39"/>
  <c r="J127" i="39"/>
  <c r="I127" i="39"/>
  <c r="G127" i="39"/>
  <c r="E127" i="39"/>
  <c r="J126" i="39"/>
  <c r="I126" i="39"/>
  <c r="G126" i="39"/>
  <c r="E126" i="39"/>
  <c r="I125" i="39"/>
  <c r="G125" i="39"/>
  <c r="J125" i="39" s="1"/>
  <c r="E125" i="39"/>
  <c r="J124" i="39"/>
  <c r="I124" i="39"/>
  <c r="G124" i="39"/>
  <c r="E124" i="39"/>
  <c r="J123" i="39"/>
  <c r="I123" i="39"/>
  <c r="G123" i="39"/>
  <c r="E123" i="39"/>
  <c r="I122" i="39"/>
  <c r="G122" i="39"/>
  <c r="J122" i="39" s="1"/>
  <c r="E122" i="39"/>
  <c r="J121" i="39"/>
  <c r="I121" i="39"/>
  <c r="G121" i="39"/>
  <c r="E121" i="39"/>
  <c r="J120" i="39"/>
  <c r="I120" i="39"/>
  <c r="G120" i="39"/>
  <c r="E120" i="39"/>
  <c r="I119" i="39"/>
  <c r="G119" i="39"/>
  <c r="J119" i="39" s="1"/>
  <c r="E119" i="39"/>
  <c r="J118" i="39"/>
  <c r="I118" i="39"/>
  <c r="G118" i="39"/>
  <c r="E118" i="39"/>
  <c r="J117" i="39"/>
  <c r="I117" i="39"/>
  <c r="G117" i="39"/>
  <c r="E117" i="39"/>
  <c r="G116" i="39"/>
  <c r="E116" i="39"/>
  <c r="I114" i="39"/>
  <c r="G114" i="39"/>
  <c r="J114" i="39" s="1"/>
  <c r="E114" i="39"/>
  <c r="I113" i="39"/>
  <c r="G113" i="39"/>
  <c r="J113" i="39" s="1"/>
  <c r="E113" i="39"/>
  <c r="I112" i="39"/>
  <c r="J112" i="39" s="1"/>
  <c r="G112" i="39"/>
  <c r="E112" i="39"/>
  <c r="I111" i="39"/>
  <c r="J111" i="39"/>
  <c r="G111" i="39"/>
  <c r="E111" i="39"/>
  <c r="I110" i="39"/>
  <c r="G110" i="39"/>
  <c r="J110" i="39"/>
  <c r="E110" i="39"/>
  <c r="I109" i="39"/>
  <c r="G109" i="39"/>
  <c r="E109" i="39"/>
  <c r="I108" i="39"/>
  <c r="G108" i="39"/>
  <c r="J108" i="39" s="1"/>
  <c r="E108" i="39"/>
  <c r="I107" i="39"/>
  <c r="J107" i="39" s="1"/>
  <c r="G107" i="39"/>
  <c r="E107" i="39"/>
  <c r="I106" i="39"/>
  <c r="J106" i="39" s="1"/>
  <c r="G106" i="39"/>
  <c r="E106" i="39"/>
  <c r="I105" i="39"/>
  <c r="G105" i="39"/>
  <c r="J105" i="39" s="1"/>
  <c r="E105" i="39"/>
  <c r="I104" i="39"/>
  <c r="J104" i="39" s="1"/>
  <c r="G104" i="39"/>
  <c r="E104" i="39"/>
  <c r="I103" i="39"/>
  <c r="J103" i="39" s="1"/>
  <c r="G103" i="39"/>
  <c r="E103" i="39"/>
  <c r="G102" i="39"/>
  <c r="E102" i="39"/>
  <c r="I100" i="39"/>
  <c r="J100" i="39" s="1"/>
  <c r="G100" i="39"/>
  <c r="E100" i="39"/>
  <c r="I99" i="39"/>
  <c r="G99" i="39"/>
  <c r="J99" i="39"/>
  <c r="E99" i="39"/>
  <c r="I98" i="39"/>
  <c r="J98" i="39" s="1"/>
  <c r="G98" i="39"/>
  <c r="E98" i="39"/>
  <c r="I97" i="39"/>
  <c r="G97" i="39"/>
  <c r="E97" i="39"/>
  <c r="I96" i="39"/>
  <c r="J96" i="39" s="1"/>
  <c r="G96" i="39"/>
  <c r="E96" i="39"/>
  <c r="I95" i="39"/>
  <c r="J95" i="39" s="1"/>
  <c r="G95" i="39"/>
  <c r="E95" i="39"/>
  <c r="I94" i="39"/>
  <c r="G94" i="39"/>
  <c r="E94" i="39"/>
  <c r="I93" i="39"/>
  <c r="G93" i="39"/>
  <c r="E93" i="39"/>
  <c r="I92" i="39"/>
  <c r="J92" i="39"/>
  <c r="G92" i="39"/>
  <c r="E92" i="39"/>
  <c r="I91" i="39"/>
  <c r="G91" i="39"/>
  <c r="E91" i="39"/>
  <c r="I90" i="39"/>
  <c r="J90" i="39"/>
  <c r="G90" i="39"/>
  <c r="E90" i="39"/>
  <c r="I89" i="39"/>
  <c r="G89" i="39"/>
  <c r="E89" i="39"/>
  <c r="G88" i="39"/>
  <c r="E88" i="39"/>
  <c r="I86" i="39"/>
  <c r="G86" i="39"/>
  <c r="E86" i="39"/>
  <c r="I85" i="39"/>
  <c r="J85" i="39"/>
  <c r="G85" i="39"/>
  <c r="E85" i="39"/>
  <c r="I84" i="39"/>
  <c r="G84" i="39"/>
  <c r="E84" i="39"/>
  <c r="I83" i="39"/>
  <c r="J83" i="39" s="1"/>
  <c r="G83" i="39"/>
  <c r="E83" i="39"/>
  <c r="I82" i="39"/>
  <c r="G82" i="39"/>
  <c r="J82" i="39"/>
  <c r="E82" i="39"/>
  <c r="I81" i="39"/>
  <c r="G81" i="39"/>
  <c r="E81" i="39"/>
  <c r="G80" i="39"/>
  <c r="E80" i="39"/>
  <c r="G79" i="39"/>
  <c r="E79" i="39"/>
  <c r="G78" i="39"/>
  <c r="E78" i="39"/>
  <c r="G77" i="39"/>
  <c r="E77" i="39"/>
  <c r="G76" i="39"/>
  <c r="E76" i="39"/>
  <c r="G75" i="39"/>
  <c r="E75" i="39"/>
  <c r="G74" i="39"/>
  <c r="E74" i="39"/>
  <c r="I72" i="39"/>
  <c r="G72" i="39"/>
  <c r="E72" i="39"/>
  <c r="I71" i="39"/>
  <c r="G71" i="39"/>
  <c r="E71" i="39"/>
  <c r="I70" i="39"/>
  <c r="J70" i="39" s="1"/>
  <c r="G70" i="39"/>
  <c r="E70" i="39"/>
  <c r="I69" i="39"/>
  <c r="G69" i="39"/>
  <c r="E69" i="39"/>
  <c r="I68" i="39"/>
  <c r="J68" i="39" s="1"/>
  <c r="G68" i="39"/>
  <c r="E68" i="39"/>
  <c r="I67" i="39"/>
  <c r="G67" i="39"/>
  <c r="J67" i="39"/>
  <c r="E67" i="39"/>
  <c r="I66" i="39"/>
  <c r="G66" i="39"/>
  <c r="J66" i="39" s="1"/>
  <c r="E66" i="39"/>
  <c r="I65" i="39"/>
  <c r="G65" i="39"/>
  <c r="E65" i="39"/>
  <c r="I64" i="39"/>
  <c r="G64" i="39"/>
  <c r="J64" i="39" s="1"/>
  <c r="E64" i="39"/>
  <c r="I63" i="39"/>
  <c r="G63" i="39"/>
  <c r="E63" i="39"/>
  <c r="I62" i="39"/>
  <c r="J62" i="39" s="1"/>
  <c r="G62" i="39"/>
  <c r="E62" i="39"/>
  <c r="I61" i="39"/>
  <c r="G61" i="39"/>
  <c r="J61" i="39"/>
  <c r="E61" i="39"/>
  <c r="G60" i="39"/>
  <c r="E60" i="39"/>
  <c r="I57" i="39"/>
  <c r="G57" i="39"/>
  <c r="E57" i="39"/>
  <c r="I56" i="39"/>
  <c r="J56" i="39" s="1"/>
  <c r="G56" i="39"/>
  <c r="E56" i="39"/>
  <c r="I55" i="39"/>
  <c r="G55" i="39"/>
  <c r="E55" i="39"/>
  <c r="I54" i="39"/>
  <c r="G54" i="39"/>
  <c r="J54" i="39" s="1"/>
  <c r="E54" i="39"/>
  <c r="I53" i="39"/>
  <c r="G53" i="39"/>
  <c r="J53" i="39"/>
  <c r="E53" i="39"/>
  <c r="I52" i="39"/>
  <c r="G52" i="39"/>
  <c r="E52" i="39"/>
  <c r="I51" i="39"/>
  <c r="G51" i="39"/>
  <c r="E51" i="39"/>
  <c r="I50" i="39"/>
  <c r="J50" i="39" s="1"/>
  <c r="G50" i="39"/>
  <c r="E50" i="39"/>
  <c r="I49" i="39"/>
  <c r="J49" i="39" s="1"/>
  <c r="G49" i="39"/>
  <c r="E49" i="39"/>
  <c r="I48" i="39"/>
  <c r="G48" i="39"/>
  <c r="E48" i="39"/>
  <c r="I47" i="39"/>
  <c r="J47" i="39" s="1"/>
  <c r="G47" i="39"/>
  <c r="E47" i="39"/>
  <c r="I46" i="39"/>
  <c r="J46" i="39"/>
  <c r="G46" i="39"/>
  <c r="E46" i="39"/>
  <c r="G45" i="39"/>
  <c r="E45" i="39"/>
  <c r="D43" i="39"/>
  <c r="I42" i="39"/>
  <c r="G42" i="39"/>
  <c r="J42" i="39" s="1"/>
  <c r="E42" i="39"/>
  <c r="I41" i="39"/>
  <c r="G41" i="39"/>
  <c r="E41" i="39"/>
  <c r="I40" i="39"/>
  <c r="J40" i="39" s="1"/>
  <c r="G40" i="39"/>
  <c r="E40" i="39"/>
  <c r="I39" i="39"/>
  <c r="G39" i="39"/>
  <c r="E39" i="39"/>
  <c r="I38" i="39"/>
  <c r="J38" i="39" s="1"/>
  <c r="G38" i="39"/>
  <c r="E38" i="39"/>
  <c r="I37" i="39"/>
  <c r="J37" i="39" s="1"/>
  <c r="G37" i="39"/>
  <c r="E37" i="39"/>
  <c r="I36" i="39"/>
  <c r="J36" i="39" s="1"/>
  <c r="G36" i="39"/>
  <c r="E36" i="39"/>
  <c r="I35" i="39"/>
  <c r="J35" i="39"/>
  <c r="G35" i="39"/>
  <c r="E35" i="39"/>
  <c r="I34" i="39"/>
  <c r="J34" i="39"/>
  <c r="G34" i="39"/>
  <c r="E34" i="39"/>
  <c r="I33" i="39"/>
  <c r="G33" i="39"/>
  <c r="J33" i="39" s="1"/>
  <c r="E33" i="39"/>
  <c r="I32" i="39"/>
  <c r="G32" i="39"/>
  <c r="E32" i="39"/>
  <c r="I31" i="39"/>
  <c r="G31" i="39"/>
  <c r="J31" i="39" s="1"/>
  <c r="E31" i="39"/>
  <c r="I30" i="39"/>
  <c r="J30" i="39" s="1"/>
  <c r="G30" i="39"/>
  <c r="E30" i="39"/>
  <c r="I29" i="39"/>
  <c r="G29" i="39"/>
  <c r="J29" i="39" s="1"/>
  <c r="E29" i="39"/>
  <c r="I28" i="39"/>
  <c r="G28" i="39"/>
  <c r="J28" i="39" s="1"/>
  <c r="E28" i="39"/>
  <c r="I27" i="39"/>
  <c r="J27" i="39" s="1"/>
  <c r="G27" i="39"/>
  <c r="E27" i="39"/>
  <c r="I26" i="39"/>
  <c r="G26" i="39"/>
  <c r="J26" i="39" s="1"/>
  <c r="E26" i="39"/>
  <c r="I25" i="39"/>
  <c r="J25" i="39" s="1"/>
  <c r="G25" i="39"/>
  <c r="E25" i="39"/>
  <c r="I24" i="39"/>
  <c r="J24" i="39" s="1"/>
  <c r="G24" i="39"/>
  <c r="E24" i="39"/>
  <c r="I23" i="39"/>
  <c r="G23" i="39"/>
  <c r="E23" i="39"/>
  <c r="I22" i="39"/>
  <c r="G22" i="39"/>
  <c r="E22" i="39"/>
  <c r="I21" i="39"/>
  <c r="J21" i="39"/>
  <c r="G21" i="39"/>
  <c r="E21" i="39"/>
  <c r="I20" i="39"/>
  <c r="G20" i="39"/>
  <c r="J20" i="39" s="1"/>
  <c r="E20" i="39"/>
  <c r="I19" i="39"/>
  <c r="J19" i="39" s="1"/>
  <c r="G19" i="39"/>
  <c r="E19" i="39"/>
  <c r="I18" i="39"/>
  <c r="J18" i="39"/>
  <c r="G18" i="39"/>
  <c r="E18" i="39"/>
  <c r="I17" i="39"/>
  <c r="G17" i="39"/>
  <c r="J17" i="39"/>
  <c r="E17" i="39"/>
  <c r="I16" i="39"/>
  <c r="J16" i="39"/>
  <c r="G16" i="39"/>
  <c r="E16" i="39"/>
  <c r="I15" i="39"/>
  <c r="J15" i="39"/>
  <c r="G15" i="39"/>
  <c r="E15" i="39"/>
  <c r="I14" i="39"/>
  <c r="G14" i="39"/>
  <c r="J14" i="39"/>
  <c r="E14" i="39"/>
  <c r="I13" i="39"/>
  <c r="J13" i="39"/>
  <c r="G13" i="39"/>
  <c r="E13" i="39"/>
  <c r="I12" i="39"/>
  <c r="J12" i="39"/>
  <c r="G12" i="39"/>
  <c r="E12" i="39"/>
  <c r="I11" i="39"/>
  <c r="G11" i="39"/>
  <c r="J11" i="39"/>
  <c r="E11" i="39"/>
  <c r="I10" i="39"/>
  <c r="J10" i="39"/>
  <c r="G10" i="39"/>
  <c r="E10" i="39"/>
  <c r="I9" i="39"/>
  <c r="J9" i="39" s="1"/>
  <c r="G9" i="39"/>
  <c r="E9" i="39"/>
  <c r="I8" i="39"/>
  <c r="J8" i="39" s="1"/>
  <c r="G8" i="39"/>
  <c r="E8" i="39"/>
  <c r="I7" i="39"/>
  <c r="J7" i="39"/>
  <c r="G7" i="39"/>
  <c r="E7" i="39"/>
  <c r="I6" i="39"/>
  <c r="J6" i="39"/>
  <c r="G6" i="39"/>
  <c r="E6" i="39"/>
  <c r="I5" i="39"/>
  <c r="J5" i="39" s="1"/>
  <c r="G5" i="39"/>
  <c r="E5" i="39"/>
  <c r="I4" i="39"/>
  <c r="G4" i="39"/>
  <c r="E4" i="39"/>
  <c r="G7" i="38"/>
  <c r="G6" i="38"/>
  <c r="G8" i="38"/>
  <c r="G10" i="38"/>
  <c r="G9" i="38"/>
  <c r="G11" i="38"/>
  <c r="G13" i="38"/>
  <c r="G12" i="38"/>
  <c r="J12" i="38" s="1"/>
  <c r="G134" i="38"/>
  <c r="E134" i="38"/>
  <c r="I132" i="38"/>
  <c r="G132" i="38"/>
  <c r="E132" i="38"/>
  <c r="I131" i="38"/>
  <c r="G131" i="38"/>
  <c r="E131" i="38"/>
  <c r="I130" i="38"/>
  <c r="G130" i="38"/>
  <c r="E130" i="38"/>
  <c r="I129" i="38"/>
  <c r="G129" i="38"/>
  <c r="E129" i="38"/>
  <c r="I128" i="38"/>
  <c r="G128" i="38"/>
  <c r="E128" i="38"/>
  <c r="I127" i="38"/>
  <c r="J127" i="38" s="1"/>
  <c r="G127" i="38"/>
  <c r="E127" i="38"/>
  <c r="I126" i="38"/>
  <c r="G126" i="38"/>
  <c r="E126" i="38"/>
  <c r="I125" i="38"/>
  <c r="G125" i="38"/>
  <c r="E125" i="38"/>
  <c r="I124" i="38"/>
  <c r="G124" i="38"/>
  <c r="E124" i="38"/>
  <c r="I123" i="38"/>
  <c r="G123" i="38"/>
  <c r="E123" i="38"/>
  <c r="I122" i="38"/>
  <c r="G122" i="38"/>
  <c r="J122" i="38"/>
  <c r="E122" i="38"/>
  <c r="I121" i="38"/>
  <c r="J121" i="38" s="1"/>
  <c r="G121" i="38"/>
  <c r="E121" i="38"/>
  <c r="G120" i="38"/>
  <c r="E120" i="38"/>
  <c r="I118" i="38"/>
  <c r="J118" i="38" s="1"/>
  <c r="G118" i="38"/>
  <c r="E118" i="38"/>
  <c r="I117" i="38"/>
  <c r="G117" i="38"/>
  <c r="E117" i="38"/>
  <c r="I116" i="38"/>
  <c r="J116" i="38" s="1"/>
  <c r="G116" i="38"/>
  <c r="E116" i="38"/>
  <c r="I115" i="38"/>
  <c r="G115" i="38"/>
  <c r="E115" i="38"/>
  <c r="I114" i="38"/>
  <c r="J114" i="38" s="1"/>
  <c r="G114" i="38"/>
  <c r="E114" i="38"/>
  <c r="I113" i="38"/>
  <c r="G113" i="38"/>
  <c r="E113" i="38"/>
  <c r="I112" i="38"/>
  <c r="G112" i="38"/>
  <c r="E112" i="38"/>
  <c r="I111" i="38"/>
  <c r="G111" i="38"/>
  <c r="E111" i="38"/>
  <c r="I110" i="38"/>
  <c r="J110" i="38" s="1"/>
  <c r="G110" i="38"/>
  <c r="E110" i="38"/>
  <c r="I109" i="38"/>
  <c r="G109" i="38"/>
  <c r="E109" i="38"/>
  <c r="I108" i="38"/>
  <c r="G108" i="38"/>
  <c r="E108" i="38"/>
  <c r="I107" i="38"/>
  <c r="G107" i="38"/>
  <c r="E107" i="38"/>
  <c r="G106" i="38"/>
  <c r="E106" i="38"/>
  <c r="I104" i="38"/>
  <c r="G104" i="38"/>
  <c r="E104" i="38"/>
  <c r="I103" i="38"/>
  <c r="G103" i="38"/>
  <c r="J103" i="38" s="1"/>
  <c r="E103" i="38"/>
  <c r="I102" i="38"/>
  <c r="J102" i="38" s="1"/>
  <c r="G102" i="38"/>
  <c r="E102" i="38"/>
  <c r="I101" i="38"/>
  <c r="G101" i="38"/>
  <c r="E101" i="38"/>
  <c r="I100" i="38"/>
  <c r="G100" i="38"/>
  <c r="E100" i="38"/>
  <c r="I99" i="38"/>
  <c r="G99" i="38"/>
  <c r="J99" i="38" s="1"/>
  <c r="E99" i="38"/>
  <c r="I98" i="38"/>
  <c r="G98" i="38"/>
  <c r="E98" i="38"/>
  <c r="I97" i="38"/>
  <c r="G97" i="38"/>
  <c r="E97" i="38"/>
  <c r="I96" i="38"/>
  <c r="G96" i="38"/>
  <c r="E96" i="38"/>
  <c r="I95" i="38"/>
  <c r="G95" i="38"/>
  <c r="E95" i="38"/>
  <c r="I94" i="38"/>
  <c r="G94" i="38"/>
  <c r="E94" i="38"/>
  <c r="I93" i="38"/>
  <c r="G93" i="38"/>
  <c r="E93" i="38"/>
  <c r="G92" i="38"/>
  <c r="E92" i="38"/>
  <c r="I90" i="38"/>
  <c r="G90" i="38"/>
  <c r="J90" i="38" s="1"/>
  <c r="E90" i="38"/>
  <c r="I89" i="38"/>
  <c r="J89" i="38" s="1"/>
  <c r="G89" i="38"/>
  <c r="E89" i="38"/>
  <c r="I88" i="38"/>
  <c r="J88" i="38" s="1"/>
  <c r="G88" i="38"/>
  <c r="E88" i="38"/>
  <c r="I87" i="38"/>
  <c r="J87" i="38"/>
  <c r="G87" i="38"/>
  <c r="E87" i="38"/>
  <c r="I86" i="38"/>
  <c r="J86" i="38" s="1"/>
  <c r="G86" i="38"/>
  <c r="E86" i="38"/>
  <c r="I85" i="38"/>
  <c r="G85" i="38"/>
  <c r="E85" i="38"/>
  <c r="G84" i="38"/>
  <c r="E84" i="38"/>
  <c r="G83" i="38"/>
  <c r="E83" i="38"/>
  <c r="G82" i="38"/>
  <c r="E82" i="38"/>
  <c r="G81" i="38"/>
  <c r="E81" i="38"/>
  <c r="G80" i="38"/>
  <c r="E80" i="38"/>
  <c r="G79" i="38"/>
  <c r="E79" i="38"/>
  <c r="G78" i="38"/>
  <c r="E78" i="38"/>
  <c r="I76" i="38"/>
  <c r="G76" i="38"/>
  <c r="E76" i="38"/>
  <c r="I75" i="38"/>
  <c r="G75" i="38"/>
  <c r="J75" i="38"/>
  <c r="E75" i="38"/>
  <c r="I74" i="38"/>
  <c r="G74" i="38"/>
  <c r="E74" i="38"/>
  <c r="I73" i="38"/>
  <c r="G73" i="38"/>
  <c r="E73" i="38"/>
  <c r="I72" i="38"/>
  <c r="G72" i="38"/>
  <c r="E72" i="38"/>
  <c r="I71" i="38"/>
  <c r="G71" i="38"/>
  <c r="E71" i="38"/>
  <c r="I70" i="38"/>
  <c r="G70" i="38"/>
  <c r="J70" i="38" s="1"/>
  <c r="E70" i="38"/>
  <c r="I69" i="38"/>
  <c r="G69" i="38"/>
  <c r="E69" i="38"/>
  <c r="I68" i="38"/>
  <c r="G68" i="38"/>
  <c r="E68" i="38"/>
  <c r="I67" i="38"/>
  <c r="J67" i="38" s="1"/>
  <c r="G67" i="38"/>
  <c r="E67" i="38"/>
  <c r="I66" i="38"/>
  <c r="J66" i="38" s="1"/>
  <c r="G66" i="38"/>
  <c r="E66" i="38"/>
  <c r="I65" i="38"/>
  <c r="G65" i="38"/>
  <c r="E65" i="38"/>
  <c r="G64" i="38"/>
  <c r="E64" i="38"/>
  <c r="I61" i="38"/>
  <c r="G61" i="38"/>
  <c r="J61" i="38" s="1"/>
  <c r="E61" i="38"/>
  <c r="I60" i="38"/>
  <c r="J60" i="38"/>
  <c r="G60" i="38"/>
  <c r="E60" i="38"/>
  <c r="I59" i="38"/>
  <c r="G59" i="38"/>
  <c r="E59" i="38"/>
  <c r="I58" i="38"/>
  <c r="G58" i="38"/>
  <c r="J58" i="38" s="1"/>
  <c r="E58" i="38"/>
  <c r="I57" i="38"/>
  <c r="J57" i="38" s="1"/>
  <c r="G57" i="38"/>
  <c r="E57" i="38"/>
  <c r="I56" i="38"/>
  <c r="J56" i="38" s="1"/>
  <c r="G56" i="38"/>
  <c r="E56" i="38"/>
  <c r="I55" i="38"/>
  <c r="G55" i="38"/>
  <c r="E55" i="38"/>
  <c r="I54" i="38"/>
  <c r="G54" i="38"/>
  <c r="E54" i="38"/>
  <c r="I53" i="38"/>
  <c r="G53" i="38"/>
  <c r="E53" i="38"/>
  <c r="I52" i="38"/>
  <c r="G52" i="38"/>
  <c r="E52" i="38"/>
  <c r="I51" i="38"/>
  <c r="G51" i="38"/>
  <c r="E51" i="38"/>
  <c r="I50" i="38"/>
  <c r="G50" i="38"/>
  <c r="J50" i="38" s="1"/>
  <c r="E50" i="38"/>
  <c r="I32" i="38"/>
  <c r="G32" i="38"/>
  <c r="E32" i="38"/>
  <c r="I33" i="38"/>
  <c r="J33" i="38" s="1"/>
  <c r="G33" i="38"/>
  <c r="E33" i="38"/>
  <c r="I31" i="38"/>
  <c r="G31" i="38"/>
  <c r="E31" i="38"/>
  <c r="I30" i="38"/>
  <c r="G30" i="38"/>
  <c r="E30" i="38"/>
  <c r="I28" i="38"/>
  <c r="G28" i="38"/>
  <c r="E28" i="38"/>
  <c r="I29" i="38"/>
  <c r="J29" i="38" s="1"/>
  <c r="G29" i="38"/>
  <c r="E29" i="38"/>
  <c r="I27" i="38"/>
  <c r="G27" i="38"/>
  <c r="J27" i="38" s="1"/>
  <c r="E27" i="38"/>
  <c r="I25" i="38"/>
  <c r="G25" i="38"/>
  <c r="E25" i="38"/>
  <c r="I26" i="38"/>
  <c r="G26" i="38"/>
  <c r="E26" i="38"/>
  <c r="I24" i="38"/>
  <c r="G24" i="38"/>
  <c r="E24" i="38"/>
  <c r="I22" i="38"/>
  <c r="G22" i="38"/>
  <c r="J22" i="38" s="1"/>
  <c r="E22" i="38"/>
  <c r="I23" i="38"/>
  <c r="J23" i="38" s="1"/>
  <c r="G23" i="38"/>
  <c r="E23" i="38"/>
  <c r="I21" i="38"/>
  <c r="G21" i="38"/>
  <c r="E21" i="38"/>
  <c r="I19" i="38"/>
  <c r="G19" i="38"/>
  <c r="E19" i="38"/>
  <c r="I20" i="38"/>
  <c r="G20" i="38"/>
  <c r="J20" i="38" s="1"/>
  <c r="E20" i="38"/>
  <c r="I18" i="38"/>
  <c r="J18" i="38" s="1"/>
  <c r="G18" i="38"/>
  <c r="E18" i="38"/>
  <c r="I16" i="38"/>
  <c r="G16" i="38"/>
  <c r="E16" i="38"/>
  <c r="I17" i="38"/>
  <c r="G17" i="38"/>
  <c r="E17" i="38"/>
  <c r="I15" i="38"/>
  <c r="G15" i="38"/>
  <c r="J15" i="38" s="1"/>
  <c r="E15" i="38"/>
  <c r="I14" i="38"/>
  <c r="J14" i="38" s="1"/>
  <c r="G14" i="38"/>
  <c r="E14" i="38"/>
  <c r="I12" i="38"/>
  <c r="E12" i="38"/>
  <c r="I13" i="38"/>
  <c r="J13" i="38" s="1"/>
  <c r="E13" i="38"/>
  <c r="I11" i="38"/>
  <c r="E11" i="38"/>
  <c r="I9" i="38"/>
  <c r="J9" i="38" s="1"/>
  <c r="E9" i="38"/>
  <c r="I10" i="38"/>
  <c r="J10" i="38" s="1"/>
  <c r="E10" i="38"/>
  <c r="E8" i="38"/>
  <c r="E6" i="38"/>
  <c r="I7" i="38"/>
  <c r="E7" i="38"/>
  <c r="E5" i="38"/>
  <c r="I4" i="38"/>
  <c r="G4" i="38"/>
  <c r="E4" i="38"/>
  <c r="G104" i="37"/>
  <c r="E104" i="37"/>
  <c r="I102" i="37"/>
  <c r="G102" i="37"/>
  <c r="J102" i="37" s="1"/>
  <c r="E102" i="37"/>
  <c r="I101" i="37"/>
  <c r="J101" i="37" s="1"/>
  <c r="G101" i="37"/>
  <c r="E101" i="37"/>
  <c r="I100" i="37"/>
  <c r="J100" i="37" s="1"/>
  <c r="G100" i="37"/>
  <c r="E100" i="37"/>
  <c r="I99" i="37"/>
  <c r="G99" i="37"/>
  <c r="J99" i="37" s="1"/>
  <c r="E99" i="37"/>
  <c r="I98" i="37"/>
  <c r="J98" i="37" s="1"/>
  <c r="G98" i="37"/>
  <c r="E98" i="37"/>
  <c r="I97" i="37"/>
  <c r="J97" i="37" s="1"/>
  <c r="G97" i="37"/>
  <c r="E97" i="37"/>
  <c r="I96" i="37"/>
  <c r="G96" i="37"/>
  <c r="J96" i="37" s="1"/>
  <c r="E96" i="37"/>
  <c r="I95" i="37"/>
  <c r="J95" i="37" s="1"/>
  <c r="G95" i="37"/>
  <c r="E95" i="37"/>
  <c r="I94" i="37"/>
  <c r="G94" i="37"/>
  <c r="E94" i="37"/>
  <c r="I93" i="37"/>
  <c r="G93" i="37"/>
  <c r="J93" i="37" s="1"/>
  <c r="E93" i="37"/>
  <c r="I92" i="37"/>
  <c r="J92" i="37" s="1"/>
  <c r="G92" i="37"/>
  <c r="E92" i="37"/>
  <c r="I91" i="37"/>
  <c r="J91" i="37" s="1"/>
  <c r="G91" i="37"/>
  <c r="E91" i="37"/>
  <c r="G90" i="37"/>
  <c r="E90" i="37"/>
  <c r="I88" i="37"/>
  <c r="J88" i="37"/>
  <c r="G88" i="37"/>
  <c r="E88" i="37"/>
  <c r="I87" i="37"/>
  <c r="J87" i="37" s="1"/>
  <c r="G87" i="37"/>
  <c r="E87" i="37"/>
  <c r="I86" i="37"/>
  <c r="J86" i="37" s="1"/>
  <c r="G86" i="37"/>
  <c r="E86" i="37"/>
  <c r="I85" i="37"/>
  <c r="G85" i="37"/>
  <c r="J85" i="37" s="1"/>
  <c r="E85" i="37"/>
  <c r="I84" i="37"/>
  <c r="J84" i="37"/>
  <c r="G84" i="37"/>
  <c r="E84" i="37"/>
  <c r="I83" i="37"/>
  <c r="J83" i="37"/>
  <c r="G83" i="37"/>
  <c r="E83" i="37"/>
  <c r="I82" i="37"/>
  <c r="G82" i="37"/>
  <c r="J82" i="37"/>
  <c r="E82" i="37"/>
  <c r="I81" i="37"/>
  <c r="J81" i="37"/>
  <c r="G81" i="37"/>
  <c r="E81" i="37"/>
  <c r="I80" i="37"/>
  <c r="G80" i="37"/>
  <c r="J80" i="37" s="1"/>
  <c r="E80" i="37"/>
  <c r="I79" i="37"/>
  <c r="G79" i="37"/>
  <c r="J79" i="37"/>
  <c r="E79" i="37"/>
  <c r="I78" i="37"/>
  <c r="J78" i="37" s="1"/>
  <c r="G78" i="37"/>
  <c r="E78" i="37"/>
  <c r="I77" i="37"/>
  <c r="G77" i="37"/>
  <c r="J77" i="37" s="1"/>
  <c r="E77" i="37"/>
  <c r="G76" i="37"/>
  <c r="E76" i="37"/>
  <c r="I74" i="37"/>
  <c r="G74" i="37"/>
  <c r="J74" i="37" s="1"/>
  <c r="E74" i="37"/>
  <c r="I73" i="37"/>
  <c r="J73" i="37"/>
  <c r="G73" i="37"/>
  <c r="E73" i="37"/>
  <c r="I72" i="37"/>
  <c r="J72" i="37" s="1"/>
  <c r="G72" i="37"/>
  <c r="E72" i="37"/>
  <c r="I71" i="37"/>
  <c r="G71" i="37"/>
  <c r="J71" i="37" s="1"/>
  <c r="E71" i="37"/>
  <c r="I70" i="37"/>
  <c r="J70" i="37"/>
  <c r="G70" i="37"/>
  <c r="E70" i="37"/>
  <c r="I69" i="37"/>
  <c r="G69" i="37"/>
  <c r="E69" i="37"/>
  <c r="I68" i="37"/>
  <c r="G68" i="37"/>
  <c r="J68" i="37" s="1"/>
  <c r="E68" i="37"/>
  <c r="I67" i="37"/>
  <c r="J67" i="37"/>
  <c r="G67" i="37"/>
  <c r="E67" i="37"/>
  <c r="I66" i="37"/>
  <c r="G66" i="37"/>
  <c r="E66" i="37"/>
  <c r="I65" i="37"/>
  <c r="J65" i="37"/>
  <c r="G65" i="37"/>
  <c r="E65" i="37"/>
  <c r="I64" i="37"/>
  <c r="J64" i="37"/>
  <c r="G64" i="37"/>
  <c r="E64" i="37"/>
  <c r="I63" i="37"/>
  <c r="G63" i="37"/>
  <c r="E63" i="37"/>
  <c r="G62" i="37"/>
  <c r="E62" i="37"/>
  <c r="I60" i="37"/>
  <c r="J60" i="37" s="1"/>
  <c r="G60" i="37"/>
  <c r="E60" i="37"/>
  <c r="I59" i="37"/>
  <c r="G59" i="37"/>
  <c r="J59" i="37"/>
  <c r="E59" i="37"/>
  <c r="I58" i="37"/>
  <c r="J58" i="37" s="1"/>
  <c r="G58" i="37"/>
  <c r="E58" i="37"/>
  <c r="I57" i="37"/>
  <c r="J57" i="37" s="1"/>
  <c r="G57" i="37"/>
  <c r="E57" i="37"/>
  <c r="I56" i="37"/>
  <c r="G56" i="37"/>
  <c r="J56" i="37"/>
  <c r="E56" i="37"/>
  <c r="I55" i="37"/>
  <c r="J55" i="37" s="1"/>
  <c r="G55" i="37"/>
  <c r="E55" i="37"/>
  <c r="I54" i="37"/>
  <c r="J54" i="37"/>
  <c r="G54" i="37"/>
  <c r="E54" i="37"/>
  <c r="I53" i="37"/>
  <c r="J53" i="37" s="1"/>
  <c r="G53" i="37"/>
  <c r="E53" i="37"/>
  <c r="I52" i="37"/>
  <c r="J52" i="37"/>
  <c r="G52" i="37"/>
  <c r="E52" i="37"/>
  <c r="I51" i="37"/>
  <c r="J51" i="37"/>
  <c r="G51" i="37"/>
  <c r="E51" i="37"/>
  <c r="I50" i="37"/>
  <c r="J50" i="37" s="1"/>
  <c r="G50" i="37"/>
  <c r="E50" i="37"/>
  <c r="I49" i="37"/>
  <c r="J49" i="37" s="1"/>
  <c r="G49" i="37"/>
  <c r="E49" i="37"/>
  <c r="G48" i="37"/>
  <c r="E48" i="37"/>
  <c r="J46" i="37"/>
  <c r="I46" i="37"/>
  <c r="G46" i="37"/>
  <c r="E46" i="37"/>
  <c r="I45" i="37"/>
  <c r="J45" i="37" s="1"/>
  <c r="G45" i="37"/>
  <c r="E45" i="37"/>
  <c r="J44" i="37"/>
  <c r="I44" i="37"/>
  <c r="G44" i="37"/>
  <c r="E44" i="37"/>
  <c r="J43" i="37"/>
  <c r="I43" i="37"/>
  <c r="G43" i="37"/>
  <c r="E43" i="37"/>
  <c r="I42" i="37"/>
  <c r="G42" i="37"/>
  <c r="J42" i="37" s="1"/>
  <c r="E42" i="37"/>
  <c r="J41" i="37"/>
  <c r="I41" i="37"/>
  <c r="G41" i="37"/>
  <c r="E41" i="37"/>
  <c r="J40" i="37"/>
  <c r="I40" i="37"/>
  <c r="G40" i="37"/>
  <c r="E40" i="37"/>
  <c r="I39" i="37"/>
  <c r="G39" i="37"/>
  <c r="J39" i="37" s="1"/>
  <c r="E39" i="37"/>
  <c r="J38" i="37"/>
  <c r="I38" i="37"/>
  <c r="G38" i="37"/>
  <c r="E38" i="37"/>
  <c r="J37" i="37"/>
  <c r="I37" i="37"/>
  <c r="G37" i="37"/>
  <c r="E37" i="37"/>
  <c r="I36" i="37"/>
  <c r="G36" i="37"/>
  <c r="J36" i="37" s="1"/>
  <c r="E36" i="37"/>
  <c r="J35" i="37"/>
  <c r="I35" i="37"/>
  <c r="G35" i="37"/>
  <c r="E35" i="37"/>
  <c r="G34" i="37"/>
  <c r="E34" i="37"/>
  <c r="I31" i="37"/>
  <c r="J31" i="37" s="1"/>
  <c r="G31" i="37"/>
  <c r="E31" i="37"/>
  <c r="I30" i="37"/>
  <c r="G30" i="37"/>
  <c r="J30" i="37"/>
  <c r="E30" i="37"/>
  <c r="I29" i="37"/>
  <c r="G29" i="37"/>
  <c r="J29" i="37" s="1"/>
  <c r="E29" i="37"/>
  <c r="I28" i="37"/>
  <c r="G28" i="37"/>
  <c r="E28" i="37"/>
  <c r="I27" i="37"/>
  <c r="G27" i="37"/>
  <c r="J27" i="37"/>
  <c r="E27" i="37"/>
  <c r="I26" i="37"/>
  <c r="J26" i="37" s="1"/>
  <c r="G26" i="37"/>
  <c r="E26" i="37"/>
  <c r="I25" i="37"/>
  <c r="G25" i="37"/>
  <c r="E25" i="37"/>
  <c r="I24" i="37"/>
  <c r="G24" i="37"/>
  <c r="J24" i="37"/>
  <c r="E24" i="37"/>
  <c r="I23" i="37"/>
  <c r="J23" i="37" s="1"/>
  <c r="G23" i="37"/>
  <c r="E23" i="37"/>
  <c r="I22" i="37"/>
  <c r="J22" i="37" s="1"/>
  <c r="G22" i="37"/>
  <c r="E22" i="37"/>
  <c r="I21" i="37"/>
  <c r="J21" i="37" s="1"/>
  <c r="G21" i="37"/>
  <c r="E21" i="37"/>
  <c r="I20" i="37"/>
  <c r="J20" i="37" s="1"/>
  <c r="G20" i="37"/>
  <c r="E20" i="37"/>
  <c r="G19" i="37"/>
  <c r="E19" i="37"/>
  <c r="D17" i="37"/>
  <c r="I16" i="37"/>
  <c r="J16" i="37" s="1"/>
  <c r="G16" i="37"/>
  <c r="E16" i="37"/>
  <c r="I15" i="37"/>
  <c r="J15" i="37"/>
  <c r="G15" i="37"/>
  <c r="E15" i="37"/>
  <c r="I14" i="37"/>
  <c r="G14" i="37"/>
  <c r="J14" i="37" s="1"/>
  <c r="E14" i="37"/>
  <c r="I13" i="37"/>
  <c r="G13" i="37"/>
  <c r="E13" i="37"/>
  <c r="I12" i="37"/>
  <c r="G12" i="37"/>
  <c r="J12" i="37" s="1"/>
  <c r="E12" i="37"/>
  <c r="I11" i="37"/>
  <c r="J11" i="37" s="1"/>
  <c r="G11" i="37"/>
  <c r="E11" i="37"/>
  <c r="I10" i="37"/>
  <c r="J10" i="37" s="1"/>
  <c r="G10" i="37"/>
  <c r="E10" i="37"/>
  <c r="I9" i="37"/>
  <c r="G9" i="37"/>
  <c r="E9" i="37"/>
  <c r="I8" i="37"/>
  <c r="J8" i="37"/>
  <c r="G8" i="37"/>
  <c r="E8" i="37"/>
  <c r="I7" i="37"/>
  <c r="G7" i="37"/>
  <c r="E7" i="37"/>
  <c r="I6" i="37"/>
  <c r="G6" i="37"/>
  <c r="E6" i="37"/>
  <c r="I5" i="37"/>
  <c r="J5" i="37"/>
  <c r="G5" i="37"/>
  <c r="E5" i="37"/>
  <c r="I4" i="37"/>
  <c r="G4" i="37"/>
  <c r="E4" i="37"/>
  <c r="G104" i="36"/>
  <c r="E104" i="36"/>
  <c r="I102" i="36"/>
  <c r="J102" i="36" s="1"/>
  <c r="G102" i="36"/>
  <c r="E102" i="36"/>
  <c r="I101" i="36"/>
  <c r="J101" i="36" s="1"/>
  <c r="G101" i="36"/>
  <c r="E101" i="36"/>
  <c r="I100" i="36"/>
  <c r="G100" i="36"/>
  <c r="E100" i="36"/>
  <c r="I99" i="36"/>
  <c r="J99" i="36" s="1"/>
  <c r="G99" i="36"/>
  <c r="E99" i="36"/>
  <c r="I98" i="36"/>
  <c r="G98" i="36"/>
  <c r="J98" i="36" s="1"/>
  <c r="E98" i="36"/>
  <c r="I97" i="36"/>
  <c r="J97" i="36" s="1"/>
  <c r="G97" i="36"/>
  <c r="E97" i="36"/>
  <c r="I96" i="36"/>
  <c r="J96" i="36" s="1"/>
  <c r="G96" i="36"/>
  <c r="E96" i="36"/>
  <c r="I95" i="36"/>
  <c r="G95" i="36"/>
  <c r="J95" i="36"/>
  <c r="E95" i="36"/>
  <c r="J94" i="36"/>
  <c r="I94" i="36"/>
  <c r="G94" i="36"/>
  <c r="E94" i="36"/>
  <c r="I93" i="36"/>
  <c r="J93" i="36" s="1"/>
  <c r="G93" i="36"/>
  <c r="E93" i="36"/>
  <c r="I92" i="36"/>
  <c r="G92" i="36"/>
  <c r="J92" i="36"/>
  <c r="E92" i="36"/>
  <c r="J91" i="36"/>
  <c r="I91" i="36"/>
  <c r="G91" i="36"/>
  <c r="E91" i="36"/>
  <c r="G90" i="36"/>
  <c r="E90" i="36"/>
  <c r="I88" i="36"/>
  <c r="J88" i="36" s="1"/>
  <c r="G88" i="36"/>
  <c r="E88" i="36"/>
  <c r="I87" i="36"/>
  <c r="G87" i="36"/>
  <c r="E87" i="36"/>
  <c r="I86" i="36"/>
  <c r="G86" i="36"/>
  <c r="E86" i="36"/>
  <c r="I85" i="36"/>
  <c r="J85" i="36" s="1"/>
  <c r="G85" i="36"/>
  <c r="E85" i="36"/>
  <c r="I84" i="36"/>
  <c r="J84" i="36" s="1"/>
  <c r="G84" i="36"/>
  <c r="E84" i="36"/>
  <c r="I83" i="36"/>
  <c r="G83" i="36"/>
  <c r="E83" i="36"/>
  <c r="I82" i="36"/>
  <c r="G82" i="36"/>
  <c r="J82" i="36" s="1"/>
  <c r="E82" i="36"/>
  <c r="I81" i="36"/>
  <c r="G81" i="36"/>
  <c r="E81" i="36"/>
  <c r="I80" i="36"/>
  <c r="G80" i="36"/>
  <c r="E80" i="36"/>
  <c r="I79" i="36"/>
  <c r="J79" i="36"/>
  <c r="G79" i="36"/>
  <c r="E79" i="36"/>
  <c r="I78" i="36"/>
  <c r="G78" i="36"/>
  <c r="E78" i="36"/>
  <c r="I77" i="36"/>
  <c r="G77" i="36"/>
  <c r="E77" i="36"/>
  <c r="G76" i="36"/>
  <c r="E76" i="36"/>
  <c r="I74" i="36"/>
  <c r="G74" i="36"/>
  <c r="J74" i="36" s="1"/>
  <c r="E74" i="36"/>
  <c r="I73" i="36"/>
  <c r="G73" i="36"/>
  <c r="J73" i="36" s="1"/>
  <c r="E73" i="36"/>
  <c r="I72" i="36"/>
  <c r="G72" i="36"/>
  <c r="E72" i="36"/>
  <c r="I71" i="36"/>
  <c r="G71" i="36"/>
  <c r="J71" i="36" s="1"/>
  <c r="E71" i="36"/>
  <c r="I70" i="36"/>
  <c r="J70" i="36" s="1"/>
  <c r="G70" i="36"/>
  <c r="E70" i="36"/>
  <c r="I69" i="36"/>
  <c r="J69" i="36" s="1"/>
  <c r="G69" i="36"/>
  <c r="E69" i="36"/>
  <c r="I68" i="36"/>
  <c r="G68" i="36"/>
  <c r="E68" i="36"/>
  <c r="I67" i="36"/>
  <c r="G67" i="36"/>
  <c r="J67" i="36" s="1"/>
  <c r="E67" i="36"/>
  <c r="I66" i="36"/>
  <c r="G66" i="36"/>
  <c r="J66" i="36"/>
  <c r="E66" i="36"/>
  <c r="I65" i="36"/>
  <c r="G65" i="36"/>
  <c r="E65" i="36"/>
  <c r="I64" i="36"/>
  <c r="G64" i="36"/>
  <c r="E64" i="36"/>
  <c r="I63" i="36"/>
  <c r="J63" i="36" s="1"/>
  <c r="G63" i="36"/>
  <c r="E63" i="36"/>
  <c r="G62" i="36"/>
  <c r="E62" i="36"/>
  <c r="I60" i="36"/>
  <c r="J60" i="36" s="1"/>
  <c r="G60" i="36"/>
  <c r="E60" i="36"/>
  <c r="J59" i="36"/>
  <c r="I59" i="36"/>
  <c r="G59" i="36"/>
  <c r="E59" i="36"/>
  <c r="I58" i="36"/>
  <c r="J58" i="36" s="1"/>
  <c r="G58" i="36"/>
  <c r="E58" i="36"/>
  <c r="I57" i="36"/>
  <c r="J57" i="36" s="1"/>
  <c r="G57" i="36"/>
  <c r="E57" i="36"/>
  <c r="J56" i="36"/>
  <c r="I56" i="36"/>
  <c r="G56" i="36"/>
  <c r="E56" i="36"/>
  <c r="I55" i="36"/>
  <c r="G55" i="36"/>
  <c r="E55" i="36"/>
  <c r="I54" i="36"/>
  <c r="J54" i="36" s="1"/>
  <c r="G54" i="36"/>
  <c r="E54" i="36"/>
  <c r="I53" i="36"/>
  <c r="J53" i="36" s="1"/>
  <c r="G53" i="36"/>
  <c r="E53" i="36"/>
  <c r="I52" i="36"/>
  <c r="J52" i="36" s="1"/>
  <c r="G52" i="36"/>
  <c r="E52" i="36"/>
  <c r="I51" i="36"/>
  <c r="J51" i="36" s="1"/>
  <c r="G51" i="36"/>
  <c r="E51" i="36"/>
  <c r="I50" i="36"/>
  <c r="J50" i="36" s="1"/>
  <c r="G50" i="36"/>
  <c r="E50" i="36"/>
  <c r="I49" i="36"/>
  <c r="J49" i="36" s="1"/>
  <c r="G49" i="36"/>
  <c r="E49" i="36"/>
  <c r="G48" i="36"/>
  <c r="E48" i="36"/>
  <c r="I46" i="36"/>
  <c r="G46" i="36"/>
  <c r="J46" i="36"/>
  <c r="E46" i="36"/>
  <c r="I45" i="36"/>
  <c r="J45" i="36" s="1"/>
  <c r="G45" i="36"/>
  <c r="E45" i="36"/>
  <c r="I44" i="36"/>
  <c r="J44" i="36" s="1"/>
  <c r="G44" i="36"/>
  <c r="E44" i="36"/>
  <c r="I43" i="36"/>
  <c r="G43" i="36"/>
  <c r="J43" i="36"/>
  <c r="E43" i="36"/>
  <c r="I42" i="36"/>
  <c r="J42" i="36" s="1"/>
  <c r="G42" i="36"/>
  <c r="E42" i="36"/>
  <c r="I41" i="36"/>
  <c r="J41" i="36" s="1"/>
  <c r="G41" i="36"/>
  <c r="E41" i="36"/>
  <c r="I40" i="36"/>
  <c r="G40" i="36"/>
  <c r="J40" i="36"/>
  <c r="E40" i="36"/>
  <c r="I39" i="36"/>
  <c r="J39" i="36" s="1"/>
  <c r="G39" i="36"/>
  <c r="E39" i="36"/>
  <c r="I38" i="36"/>
  <c r="J38" i="36" s="1"/>
  <c r="G38" i="36"/>
  <c r="E38" i="36"/>
  <c r="I37" i="36"/>
  <c r="G37" i="36"/>
  <c r="J37" i="36"/>
  <c r="E37" i="36"/>
  <c r="I36" i="36"/>
  <c r="J36" i="36" s="1"/>
  <c r="G36" i="36"/>
  <c r="E36" i="36"/>
  <c r="I35" i="36"/>
  <c r="J35" i="36" s="1"/>
  <c r="G35" i="36"/>
  <c r="E35" i="36"/>
  <c r="G34" i="36"/>
  <c r="E34" i="36"/>
  <c r="I31" i="36"/>
  <c r="J31" i="36"/>
  <c r="G31" i="36"/>
  <c r="E31" i="36"/>
  <c r="I30" i="36"/>
  <c r="G30" i="36"/>
  <c r="E30" i="36"/>
  <c r="I29" i="36"/>
  <c r="G29" i="36"/>
  <c r="J29" i="36" s="1"/>
  <c r="E29" i="36"/>
  <c r="I28" i="36"/>
  <c r="G28" i="36"/>
  <c r="J28" i="36"/>
  <c r="E28" i="36"/>
  <c r="I27" i="36"/>
  <c r="G27" i="36"/>
  <c r="E27" i="36"/>
  <c r="I26" i="36"/>
  <c r="J26" i="36" s="1"/>
  <c r="G26" i="36"/>
  <c r="E26" i="36"/>
  <c r="I25" i="36"/>
  <c r="G25" i="36"/>
  <c r="J25" i="36" s="1"/>
  <c r="E25" i="36"/>
  <c r="I24" i="36"/>
  <c r="J24" i="36" s="1"/>
  <c r="G24" i="36"/>
  <c r="E24" i="36"/>
  <c r="I23" i="36"/>
  <c r="G23" i="36"/>
  <c r="E23" i="36"/>
  <c r="I22" i="36"/>
  <c r="G22" i="36"/>
  <c r="E22" i="36"/>
  <c r="I21" i="36"/>
  <c r="G21" i="36"/>
  <c r="J21" i="36" s="1"/>
  <c r="E21" i="36"/>
  <c r="I20" i="36"/>
  <c r="G20" i="36"/>
  <c r="E20" i="36"/>
  <c r="G19" i="36"/>
  <c r="E19" i="36"/>
  <c r="D17" i="36"/>
  <c r="I16" i="36"/>
  <c r="G16" i="36"/>
  <c r="E16" i="36"/>
  <c r="I15" i="36"/>
  <c r="G15" i="36"/>
  <c r="E15" i="36"/>
  <c r="I14" i="36"/>
  <c r="G14" i="36"/>
  <c r="J14" i="36" s="1"/>
  <c r="E14" i="36"/>
  <c r="I13" i="36"/>
  <c r="J13" i="36" s="1"/>
  <c r="G13" i="36"/>
  <c r="E13" i="36"/>
  <c r="I12" i="36"/>
  <c r="G12" i="36"/>
  <c r="E12" i="36"/>
  <c r="I11" i="36"/>
  <c r="G11" i="36"/>
  <c r="J11" i="36"/>
  <c r="E11" i="36"/>
  <c r="I10" i="36"/>
  <c r="J10" i="36" s="1"/>
  <c r="G10" i="36"/>
  <c r="E10" i="36"/>
  <c r="I9" i="36"/>
  <c r="J9" i="36" s="1"/>
  <c r="G9" i="36"/>
  <c r="E9" i="36"/>
  <c r="I8" i="36"/>
  <c r="G8" i="36"/>
  <c r="J8" i="36" s="1"/>
  <c r="E8" i="36"/>
  <c r="I7" i="36"/>
  <c r="J7" i="36"/>
  <c r="G7" i="36"/>
  <c r="E7" i="36"/>
  <c r="I6" i="36"/>
  <c r="G6" i="36"/>
  <c r="J6" i="36" s="1"/>
  <c r="E6" i="36"/>
  <c r="I5" i="36"/>
  <c r="G5" i="36"/>
  <c r="E5" i="36"/>
  <c r="I4" i="36"/>
  <c r="G4" i="36"/>
  <c r="E4" i="36"/>
  <c r="G104" i="35"/>
  <c r="E104" i="35"/>
  <c r="I102" i="35"/>
  <c r="G102" i="35"/>
  <c r="J102" i="35" s="1"/>
  <c r="E102" i="35"/>
  <c r="J101" i="35"/>
  <c r="I101" i="35"/>
  <c r="G101" i="35"/>
  <c r="E101" i="35"/>
  <c r="I100" i="35"/>
  <c r="J100" i="35" s="1"/>
  <c r="G100" i="35"/>
  <c r="E100" i="35"/>
  <c r="I99" i="35"/>
  <c r="G99" i="35"/>
  <c r="J99" i="35" s="1"/>
  <c r="E99" i="35"/>
  <c r="J98" i="35"/>
  <c r="I98" i="35"/>
  <c r="G98" i="35"/>
  <c r="E98" i="35"/>
  <c r="I97" i="35"/>
  <c r="J97" i="35" s="1"/>
  <c r="G97" i="35"/>
  <c r="E97" i="35"/>
  <c r="I96" i="35"/>
  <c r="G96" i="35"/>
  <c r="J96" i="35" s="1"/>
  <c r="E96" i="35"/>
  <c r="J95" i="35"/>
  <c r="I95" i="35"/>
  <c r="G95" i="35"/>
  <c r="E95" i="35"/>
  <c r="I94" i="35"/>
  <c r="J94" i="35" s="1"/>
  <c r="G94" i="35"/>
  <c r="E94" i="35"/>
  <c r="I93" i="35"/>
  <c r="G93" i="35"/>
  <c r="J93" i="35" s="1"/>
  <c r="E93" i="35"/>
  <c r="J92" i="35"/>
  <c r="I92" i="35"/>
  <c r="G92" i="35"/>
  <c r="E92" i="35"/>
  <c r="I91" i="35"/>
  <c r="J91" i="35" s="1"/>
  <c r="G91" i="35"/>
  <c r="E91" i="35"/>
  <c r="G90" i="35"/>
  <c r="E90" i="35"/>
  <c r="I88" i="35"/>
  <c r="G88" i="35"/>
  <c r="J88" i="35" s="1"/>
  <c r="E88" i="35"/>
  <c r="I87" i="35"/>
  <c r="G87" i="35"/>
  <c r="J87" i="35" s="1"/>
  <c r="E87" i="35"/>
  <c r="I86" i="35"/>
  <c r="J86" i="35" s="1"/>
  <c r="G86" i="35"/>
  <c r="E86" i="35"/>
  <c r="I85" i="35"/>
  <c r="G85" i="35"/>
  <c r="J85" i="35" s="1"/>
  <c r="E85" i="35"/>
  <c r="I84" i="35"/>
  <c r="G84" i="35"/>
  <c r="E84" i="35"/>
  <c r="I83" i="35"/>
  <c r="J83" i="35"/>
  <c r="G83" i="35"/>
  <c r="E83" i="35"/>
  <c r="I82" i="35"/>
  <c r="G82" i="35"/>
  <c r="J82" i="35" s="1"/>
  <c r="E82" i="35"/>
  <c r="I81" i="35"/>
  <c r="G81" i="35"/>
  <c r="E81" i="35"/>
  <c r="I80" i="35"/>
  <c r="J80" i="35" s="1"/>
  <c r="G80" i="35"/>
  <c r="E80" i="35"/>
  <c r="I79" i="35"/>
  <c r="J79" i="35"/>
  <c r="G79" i="35"/>
  <c r="E79" i="35"/>
  <c r="I78" i="35"/>
  <c r="G78" i="35"/>
  <c r="E78" i="35"/>
  <c r="I77" i="35"/>
  <c r="J77" i="35" s="1"/>
  <c r="G77" i="35"/>
  <c r="E77" i="35"/>
  <c r="G76" i="35"/>
  <c r="E76" i="35"/>
  <c r="I74" i="35"/>
  <c r="J74" i="35"/>
  <c r="G74" i="35"/>
  <c r="E74" i="35"/>
  <c r="I73" i="35"/>
  <c r="G73" i="35"/>
  <c r="J73" i="35" s="1"/>
  <c r="E73" i="35"/>
  <c r="I72" i="35"/>
  <c r="G72" i="35"/>
  <c r="E72" i="35"/>
  <c r="I71" i="35"/>
  <c r="G71" i="35"/>
  <c r="E71" i="35"/>
  <c r="I70" i="35"/>
  <c r="G70" i="35"/>
  <c r="E70" i="35"/>
  <c r="I69" i="35"/>
  <c r="G69" i="35"/>
  <c r="J69" i="35" s="1"/>
  <c r="E69" i="35"/>
  <c r="I68" i="35"/>
  <c r="G68" i="35"/>
  <c r="E68" i="35"/>
  <c r="I67" i="35"/>
  <c r="G67" i="35"/>
  <c r="J67" i="35" s="1"/>
  <c r="E67" i="35"/>
  <c r="I66" i="35"/>
  <c r="G66" i="35"/>
  <c r="E66" i="35"/>
  <c r="I65" i="35"/>
  <c r="J65" i="35"/>
  <c r="G65" i="35"/>
  <c r="E65" i="35"/>
  <c r="I64" i="35"/>
  <c r="G64" i="35"/>
  <c r="E64" i="35"/>
  <c r="I63" i="35"/>
  <c r="G63" i="35"/>
  <c r="J63" i="35" s="1"/>
  <c r="E63" i="35"/>
  <c r="G62" i="35"/>
  <c r="E62" i="35"/>
  <c r="I60" i="35"/>
  <c r="J60" i="35" s="1"/>
  <c r="G60" i="35"/>
  <c r="E60" i="35"/>
  <c r="I59" i="35"/>
  <c r="G59" i="35"/>
  <c r="E59" i="35"/>
  <c r="I58" i="35"/>
  <c r="G58" i="35"/>
  <c r="J58" i="35" s="1"/>
  <c r="E58" i="35"/>
  <c r="I57" i="35"/>
  <c r="G57" i="35"/>
  <c r="E57" i="35"/>
  <c r="I56" i="35"/>
  <c r="G56" i="35"/>
  <c r="E56" i="35"/>
  <c r="I55" i="35"/>
  <c r="G55" i="35"/>
  <c r="E55" i="35"/>
  <c r="I54" i="35"/>
  <c r="J54" i="35"/>
  <c r="G54" i="35"/>
  <c r="E54" i="35"/>
  <c r="I53" i="35"/>
  <c r="J53" i="35"/>
  <c r="G53" i="35"/>
  <c r="E53" i="35"/>
  <c r="I52" i="35"/>
  <c r="G52" i="35"/>
  <c r="E52" i="35"/>
  <c r="I51" i="35"/>
  <c r="G51" i="35"/>
  <c r="E51" i="35"/>
  <c r="I50" i="35"/>
  <c r="J50" i="35" s="1"/>
  <c r="G50" i="35"/>
  <c r="E50" i="35"/>
  <c r="I49" i="35"/>
  <c r="G49" i="35"/>
  <c r="E49" i="35"/>
  <c r="G48" i="35"/>
  <c r="E48" i="35"/>
  <c r="I46" i="35"/>
  <c r="J46" i="35" s="1"/>
  <c r="G46" i="35"/>
  <c r="E46" i="35"/>
  <c r="I45" i="35"/>
  <c r="G45" i="35"/>
  <c r="J45" i="35"/>
  <c r="E45" i="35"/>
  <c r="I44" i="35"/>
  <c r="J44" i="35" s="1"/>
  <c r="G44" i="35"/>
  <c r="E44" i="35"/>
  <c r="I43" i="35"/>
  <c r="J43" i="35"/>
  <c r="G43" i="35"/>
  <c r="E43" i="35"/>
  <c r="I42" i="35"/>
  <c r="G42" i="35"/>
  <c r="J42" i="35" s="1"/>
  <c r="E42" i="35"/>
  <c r="I41" i="35"/>
  <c r="G41" i="35"/>
  <c r="E41" i="35"/>
  <c r="I40" i="35"/>
  <c r="G40" i="35"/>
  <c r="J40" i="35" s="1"/>
  <c r="E40" i="35"/>
  <c r="I39" i="35"/>
  <c r="G39" i="35"/>
  <c r="J39" i="35"/>
  <c r="E39" i="35"/>
  <c r="I38" i="35"/>
  <c r="G38" i="35"/>
  <c r="E38" i="35"/>
  <c r="I37" i="35"/>
  <c r="G37" i="35"/>
  <c r="J37" i="35" s="1"/>
  <c r="E37" i="35"/>
  <c r="I36" i="35"/>
  <c r="J36" i="35" s="1"/>
  <c r="G36" i="35"/>
  <c r="E36" i="35"/>
  <c r="I35" i="35"/>
  <c r="J35" i="35" s="1"/>
  <c r="G35" i="35"/>
  <c r="E35" i="35"/>
  <c r="G34" i="35"/>
  <c r="E34" i="35"/>
  <c r="I31" i="35"/>
  <c r="G31" i="35"/>
  <c r="J31" i="35" s="1"/>
  <c r="E31" i="35"/>
  <c r="I30" i="35"/>
  <c r="G30" i="35"/>
  <c r="J30" i="35" s="1"/>
  <c r="E30" i="35"/>
  <c r="I29" i="35"/>
  <c r="J29" i="35" s="1"/>
  <c r="G29" i="35"/>
  <c r="E29" i="35"/>
  <c r="I28" i="35"/>
  <c r="J28" i="35"/>
  <c r="G28" i="35"/>
  <c r="E28" i="35"/>
  <c r="I27" i="35"/>
  <c r="G27" i="35"/>
  <c r="E27" i="35"/>
  <c r="I26" i="35"/>
  <c r="J26" i="35" s="1"/>
  <c r="G26" i="35"/>
  <c r="E26" i="35"/>
  <c r="I25" i="35"/>
  <c r="G25" i="35"/>
  <c r="J25" i="35" s="1"/>
  <c r="E25" i="35"/>
  <c r="I24" i="35"/>
  <c r="J24" i="35" s="1"/>
  <c r="G24" i="35"/>
  <c r="E24" i="35"/>
  <c r="I23" i="35"/>
  <c r="J23" i="35" s="1"/>
  <c r="G23" i="35"/>
  <c r="E23" i="35"/>
  <c r="I22" i="35"/>
  <c r="J22" i="35"/>
  <c r="G22" i="35"/>
  <c r="E22" i="35"/>
  <c r="I21" i="35"/>
  <c r="J21" i="35" s="1"/>
  <c r="G21" i="35"/>
  <c r="E21" i="35"/>
  <c r="I20" i="35"/>
  <c r="J20" i="35" s="1"/>
  <c r="G20" i="35"/>
  <c r="E20" i="35"/>
  <c r="G19" i="35"/>
  <c r="E19" i="35"/>
  <c r="D17" i="35"/>
  <c r="I16" i="35"/>
  <c r="J16" i="35" s="1"/>
  <c r="G16" i="35"/>
  <c r="E16" i="35"/>
  <c r="I15" i="35"/>
  <c r="J15" i="35" s="1"/>
  <c r="G15" i="35"/>
  <c r="E15" i="35"/>
  <c r="I14" i="35"/>
  <c r="G14" i="35"/>
  <c r="J14" i="35" s="1"/>
  <c r="E14" i="35"/>
  <c r="I13" i="35"/>
  <c r="J13" i="35" s="1"/>
  <c r="G13" i="35"/>
  <c r="E13" i="35"/>
  <c r="I12" i="35"/>
  <c r="J12" i="35" s="1"/>
  <c r="G12" i="35"/>
  <c r="E12" i="35"/>
  <c r="I11" i="35"/>
  <c r="G11" i="35"/>
  <c r="E11" i="35"/>
  <c r="I10" i="35"/>
  <c r="G10" i="35"/>
  <c r="J10" i="35" s="1"/>
  <c r="E10" i="35"/>
  <c r="I9" i="35"/>
  <c r="G9" i="35"/>
  <c r="J9" i="35" s="1"/>
  <c r="E9" i="35"/>
  <c r="I8" i="35"/>
  <c r="J8" i="35" s="1"/>
  <c r="G8" i="35"/>
  <c r="E8" i="35"/>
  <c r="I7" i="35"/>
  <c r="J7" i="35"/>
  <c r="G7" i="35"/>
  <c r="E7" i="35"/>
  <c r="I6" i="35"/>
  <c r="G6" i="35"/>
  <c r="E6" i="35"/>
  <c r="I5" i="35"/>
  <c r="J5" i="35" s="1"/>
  <c r="G5" i="35"/>
  <c r="E5" i="35"/>
  <c r="I4" i="35"/>
  <c r="G4" i="35"/>
  <c r="J4" i="35" s="1"/>
  <c r="E4" i="35"/>
  <c r="C43" i="29"/>
  <c r="H42" i="29"/>
  <c r="I42" i="29"/>
  <c r="D42" i="29"/>
  <c r="H41" i="29"/>
  <c r="I41" i="29" s="1"/>
  <c r="D41" i="29"/>
  <c r="H40" i="29"/>
  <c r="F40" i="29"/>
  <c r="I40" i="29"/>
  <c r="D40" i="29"/>
  <c r="H39" i="29"/>
  <c r="I39" i="29" s="1"/>
  <c r="F39" i="29"/>
  <c r="D39" i="29"/>
  <c r="H38" i="29"/>
  <c r="F38" i="29"/>
  <c r="D38" i="29"/>
  <c r="H37" i="29"/>
  <c r="F37" i="29"/>
  <c r="I37" i="29"/>
  <c r="D37" i="29"/>
  <c r="H36" i="29"/>
  <c r="D36" i="29"/>
  <c r="H35" i="29"/>
  <c r="I35" i="29" s="1"/>
  <c r="D35" i="29"/>
  <c r="H34" i="29"/>
  <c r="F34" i="29"/>
  <c r="D34" i="29"/>
  <c r="H32" i="29"/>
  <c r="I32" i="29" s="1"/>
  <c r="D32" i="29"/>
  <c r="H31" i="29"/>
  <c r="D31" i="29"/>
  <c r="H30" i="29"/>
  <c r="D30" i="29"/>
  <c r="H29" i="29"/>
  <c r="I29" i="29" s="1"/>
  <c r="D29" i="29"/>
  <c r="C19" i="29"/>
  <c r="H18" i="29"/>
  <c r="I18" i="29"/>
  <c r="D18" i="29"/>
  <c r="H17" i="29"/>
  <c r="I17" i="29"/>
  <c r="D17" i="29"/>
  <c r="H16" i="29"/>
  <c r="F16" i="29"/>
  <c r="I16" i="29"/>
  <c r="D16" i="29"/>
  <c r="H15" i="29"/>
  <c r="I15" i="29" s="1"/>
  <c r="F15" i="29"/>
  <c r="D15" i="29"/>
  <c r="H14" i="29"/>
  <c r="F14" i="29"/>
  <c r="D14" i="29"/>
  <c r="H13" i="29"/>
  <c r="F13" i="29"/>
  <c r="I13" i="29"/>
  <c r="D13" i="29"/>
  <c r="H12" i="29"/>
  <c r="I12" i="29" s="1"/>
  <c r="F12" i="29"/>
  <c r="D12" i="29"/>
  <c r="H11" i="29"/>
  <c r="I11" i="29"/>
  <c r="D11" i="29"/>
  <c r="H10" i="29"/>
  <c r="I10" i="29" s="1"/>
  <c r="F10" i="29"/>
  <c r="D10" i="29"/>
  <c r="H9" i="29"/>
  <c r="I9" i="29" s="1"/>
  <c r="F9" i="29"/>
  <c r="D9" i="29"/>
  <c r="H8" i="29"/>
  <c r="I8" i="29" s="1"/>
  <c r="F8" i="29"/>
  <c r="D8" i="29"/>
  <c r="H7" i="29"/>
  <c r="I7" i="29" s="1"/>
  <c r="F7" i="29"/>
  <c r="D7" i="29"/>
  <c r="H6" i="29"/>
  <c r="I6" i="29"/>
  <c r="D6" i="29"/>
  <c r="C38" i="28"/>
  <c r="H37" i="28"/>
  <c r="I37" i="28" s="1"/>
  <c r="D37" i="28"/>
  <c r="H36" i="28"/>
  <c r="I36" i="28" s="1"/>
  <c r="D36" i="28"/>
  <c r="H35" i="28"/>
  <c r="F35" i="28"/>
  <c r="I35" i="28"/>
  <c r="D35" i="28"/>
  <c r="H34" i="28"/>
  <c r="I34" i="28" s="1"/>
  <c r="F34" i="28"/>
  <c r="D34" i="28"/>
  <c r="H33" i="28"/>
  <c r="F33" i="28"/>
  <c r="I33" i="28" s="1"/>
  <c r="D33" i="28"/>
  <c r="H32" i="28"/>
  <c r="F32" i="28"/>
  <c r="I32" i="28" s="1"/>
  <c r="D32" i="28"/>
  <c r="H31" i="28"/>
  <c r="I31" i="28" s="1"/>
  <c r="F31" i="28"/>
  <c r="D31" i="28"/>
  <c r="H30" i="28"/>
  <c r="I30" i="28" s="1"/>
  <c r="D30" i="28"/>
  <c r="H29" i="28"/>
  <c r="I29" i="28" s="1"/>
  <c r="F29" i="28"/>
  <c r="D29" i="28"/>
  <c r="H28" i="28"/>
  <c r="I28" i="28" s="1"/>
  <c r="F28" i="28"/>
  <c r="D28" i="28"/>
  <c r="H27" i="28"/>
  <c r="F27" i="28"/>
  <c r="I27" i="28" s="1"/>
  <c r="D27" i="28"/>
  <c r="H26" i="28"/>
  <c r="I26" i="28" s="1"/>
  <c r="F26" i="28"/>
  <c r="D26" i="28"/>
  <c r="H25" i="28"/>
  <c r="I25" i="28" s="1"/>
  <c r="D25" i="28"/>
  <c r="C17" i="28"/>
  <c r="H16" i="28"/>
  <c r="I16" i="28" s="1"/>
  <c r="F16" i="28"/>
  <c r="D16" i="28"/>
  <c r="H15" i="28"/>
  <c r="I15" i="28"/>
  <c r="D15" i="28"/>
  <c r="H14" i="28"/>
  <c r="I14" i="28" s="1"/>
  <c r="F14" i="28"/>
  <c r="D14" i="28"/>
  <c r="H13" i="28"/>
  <c r="I13" i="28" s="1"/>
  <c r="F13" i="28"/>
  <c r="D13" i="28"/>
  <c r="H12" i="28"/>
  <c r="F12" i="28"/>
  <c r="D12" i="28"/>
  <c r="H11" i="28"/>
  <c r="I11" i="28" s="1"/>
  <c r="F11" i="28"/>
  <c r="D11" i="28"/>
  <c r="H10" i="28"/>
  <c r="F10" i="28"/>
  <c r="I10" i="28" s="1"/>
  <c r="D10" i="28"/>
  <c r="H9" i="28"/>
  <c r="I9" i="28" s="1"/>
  <c r="D9" i="28"/>
  <c r="H8" i="28"/>
  <c r="I8" i="28" s="1"/>
  <c r="F8" i="28"/>
  <c r="D8" i="28"/>
  <c r="H7" i="28"/>
  <c r="F7" i="28"/>
  <c r="D7" i="28"/>
  <c r="H6" i="28"/>
  <c r="F6" i="28"/>
  <c r="I6" i="28"/>
  <c r="I17" i="28" s="1"/>
  <c r="J17" i="28" s="1"/>
  <c r="D6" i="28"/>
  <c r="H5" i="28"/>
  <c r="I5" i="28" s="1"/>
  <c r="F5" i="28"/>
  <c r="D5" i="28"/>
  <c r="H4" i="28"/>
  <c r="I4" i="28" s="1"/>
  <c r="D4" i="28"/>
  <c r="J5" i="36"/>
  <c r="J23" i="36"/>
  <c r="J27" i="36"/>
  <c r="J65" i="36"/>
  <c r="J78" i="36"/>
  <c r="J86" i="36"/>
  <c r="J16" i="36"/>
  <c r="J22" i="36"/>
  <c r="J30" i="36"/>
  <c r="J64" i="36"/>
  <c r="J68" i="36"/>
  <c r="J72" i="36"/>
  <c r="J77" i="36"/>
  <c r="J81" i="36"/>
  <c r="J49" i="35"/>
  <c r="J57" i="35"/>
  <c r="J66" i="35"/>
  <c r="J70" i="35"/>
  <c r="J56" i="35"/>
  <c r="J51" i="35"/>
  <c r="J55" i="35"/>
  <c r="J68" i="35"/>
  <c r="J72" i="35"/>
  <c r="J51" i="38"/>
  <c r="J55" i="38"/>
  <c r="J59" i="38"/>
  <c r="J76" i="38"/>
  <c r="J38" i="38"/>
  <c r="J42" i="38"/>
  <c r="J37" i="38"/>
  <c r="J62" i="40"/>
  <c r="J90" i="40"/>
  <c r="J100" i="40"/>
  <c r="J113" i="40"/>
  <c r="J23" i="40"/>
  <c r="J69" i="40"/>
  <c r="J71" i="40"/>
  <c r="J89" i="40"/>
  <c r="J93" i="40"/>
  <c r="J97" i="40"/>
  <c r="J99" i="40"/>
  <c r="J112" i="40"/>
  <c r="J64" i="40"/>
  <c r="J92" i="40"/>
  <c r="J96" i="40"/>
  <c r="J23" i="39"/>
  <c r="J41" i="39"/>
  <c r="J57" i="39"/>
  <c r="J63" i="39"/>
  <c r="J84" i="39"/>
  <c r="J91" i="39"/>
  <c r="J48" i="39"/>
  <c r="J52" i="39"/>
  <c r="J72" i="39"/>
  <c r="J81" i="39"/>
  <c r="J94" i="39"/>
  <c r="J39" i="39"/>
  <c r="J51" i="39"/>
  <c r="J55" i="39"/>
  <c r="J65" i="39"/>
  <c r="J71" i="39"/>
  <c r="J86" i="39"/>
  <c r="J89" i="39"/>
  <c r="J93" i="39"/>
  <c r="J97" i="39"/>
  <c r="J85" i="38"/>
  <c r="J126" i="38"/>
  <c r="J130" i="38"/>
  <c r="J53" i="38"/>
  <c r="J132" i="38"/>
  <c r="J52" i="38"/>
  <c r="J131" i="38"/>
  <c r="J124" i="38"/>
  <c r="J128" i="38"/>
  <c r="J65" i="38"/>
  <c r="J69" i="38"/>
  <c r="J73" i="38"/>
  <c r="J107" i="38"/>
  <c r="J123" i="38"/>
  <c r="J25" i="38"/>
  <c r="J26" i="38"/>
  <c r="J28" i="38"/>
  <c r="J24" i="38"/>
  <c r="J31" i="38"/>
  <c r="J17" i="38"/>
  <c r="J19" i="38"/>
  <c r="J32" i="38"/>
  <c r="J68" i="38"/>
  <c r="J72" i="38"/>
  <c r="J94" i="38"/>
  <c r="J98" i="38"/>
  <c r="J111" i="38"/>
  <c r="J115" i="38"/>
  <c r="J117" i="38"/>
  <c r="J11" i="38"/>
  <c r="J74" i="38"/>
  <c r="J93" i="38"/>
  <c r="J97" i="38"/>
  <c r="J101" i="38"/>
  <c r="J104" i="38"/>
  <c r="J4" i="38"/>
  <c r="J96" i="38"/>
  <c r="J100" i="38"/>
  <c r="J109" i="38"/>
  <c r="J113" i="38"/>
  <c r="D49" i="38"/>
  <c r="J112" i="41"/>
  <c r="J117" i="41"/>
  <c r="J107" i="41"/>
  <c r="J72" i="42"/>
  <c r="J37" i="42"/>
  <c r="J121" i="42"/>
  <c r="J125" i="42"/>
  <c r="J6" i="42"/>
  <c r="J10" i="42"/>
  <c r="J14" i="42"/>
  <c r="J18" i="42"/>
  <c r="J22" i="42"/>
  <c r="J26" i="42"/>
  <c r="J30" i="42"/>
  <c r="J83" i="42"/>
  <c r="J92" i="42"/>
  <c r="J96" i="42"/>
  <c r="J120" i="42"/>
  <c r="J9" i="42"/>
  <c r="J13" i="42"/>
  <c r="J65" i="42"/>
  <c r="J69" i="42"/>
  <c r="J91" i="42"/>
  <c r="J95" i="42"/>
  <c r="J38" i="42"/>
  <c r="J4" i="42"/>
  <c r="J12" i="42"/>
  <c r="J16" i="42"/>
  <c r="J20" i="42"/>
  <c r="J24" i="42"/>
  <c r="J64" i="42"/>
  <c r="J68" i="42"/>
  <c r="J101" i="42"/>
  <c r="J110" i="42"/>
  <c r="J7" i="42"/>
  <c r="J15" i="42"/>
  <c r="J19" i="42"/>
  <c r="J23" i="42"/>
  <c r="J93" i="42"/>
  <c r="J97" i="42"/>
  <c r="J109" i="42"/>
  <c r="J34" i="42"/>
  <c r="I59" i="29"/>
  <c r="I58" i="29"/>
  <c r="J71" i="35"/>
  <c r="J11" i="35"/>
  <c r="J124" i="42"/>
  <c r="J20" i="41"/>
  <c r="J41" i="35"/>
  <c r="J6" i="40"/>
  <c r="J28" i="37"/>
  <c r="J85" i="40"/>
  <c r="J95" i="41"/>
  <c r="J103" i="41"/>
  <c r="I12" i="28"/>
  <c r="J9" i="37"/>
  <c r="J25" i="37"/>
  <c r="J10" i="40"/>
  <c r="J91" i="40"/>
  <c r="J68" i="41"/>
  <c r="J64" i="35"/>
  <c r="J80" i="36"/>
  <c r="J13" i="37"/>
  <c r="J21" i="40"/>
  <c r="J38" i="35"/>
  <c r="J59" i="35"/>
  <c r="J6" i="37"/>
  <c r="J8" i="41"/>
  <c r="J100" i="41"/>
  <c r="J104" i="41"/>
  <c r="I34" i="29"/>
  <c r="J52" i="35"/>
  <c r="J78" i="35"/>
  <c r="J100" i="36"/>
  <c r="J109" i="39"/>
  <c r="J15" i="40"/>
  <c r="J128" i="40"/>
  <c r="J85" i="41"/>
  <c r="J97" i="41"/>
  <c r="J60" i="41"/>
  <c r="J70" i="41"/>
  <c r="J4" i="37"/>
  <c r="I7" i="28"/>
  <c r="J16" i="40"/>
  <c r="J54" i="41"/>
  <c r="I5" i="38"/>
  <c r="J5" i="38" s="1"/>
  <c r="J34" i="38" s="1"/>
  <c r="L31" i="38" s="1"/>
  <c r="L33" i="38" s="1"/>
  <c r="K17" i="28" l="1"/>
  <c r="L17" i="28"/>
  <c r="M17" i="28"/>
  <c r="J20" i="36"/>
  <c r="I19" i="29"/>
  <c r="J19" i="29" s="1"/>
  <c r="J111" i="41"/>
  <c r="I43" i="39"/>
  <c r="J4" i="39"/>
  <c r="K42" i="38"/>
  <c r="L42" i="38" s="1"/>
  <c r="I43" i="29"/>
  <c r="J43" i="29" s="1"/>
  <c r="D62" i="38"/>
  <c r="I49" i="38"/>
  <c r="J49" i="38" s="1"/>
  <c r="J69" i="37"/>
  <c r="J66" i="37"/>
  <c r="J69" i="39"/>
  <c r="J63" i="37"/>
  <c r="J71" i="38"/>
  <c r="J95" i="38"/>
  <c r="J108" i="38"/>
  <c r="J112" i="38"/>
  <c r="J129" i="38"/>
  <c r="J32" i="39"/>
  <c r="J40" i="38"/>
  <c r="I46" i="38"/>
  <c r="J45" i="41"/>
  <c r="J76" i="41"/>
  <c r="J87" i="41"/>
  <c r="I19" i="43"/>
  <c r="J19" i="43" s="1"/>
  <c r="J15" i="36"/>
  <c r="J99" i="41"/>
  <c r="J128" i="42"/>
  <c r="J81" i="35"/>
  <c r="J12" i="36"/>
  <c r="J54" i="38"/>
  <c r="I62" i="43"/>
  <c r="J6" i="35"/>
  <c r="J17" i="35" s="1"/>
  <c r="K17" i="35" s="1"/>
  <c r="J27" i="35"/>
  <c r="J68" i="40"/>
  <c r="J72" i="40"/>
  <c r="J105" i="40"/>
  <c r="J22" i="41"/>
  <c r="J112" i="42"/>
  <c r="J84" i="35"/>
  <c r="J4" i="36"/>
  <c r="J17" i="36" s="1"/>
  <c r="K17" i="36" s="1"/>
  <c r="J94" i="37"/>
  <c r="I14" i="29"/>
  <c r="I38" i="29"/>
  <c r="J37" i="40"/>
  <c r="J61" i="40"/>
  <c r="J65" i="40"/>
  <c r="J63" i="42"/>
  <c r="J67" i="42"/>
  <c r="J71" i="42"/>
  <c r="I38" i="28"/>
  <c r="J38" i="28" s="1"/>
  <c r="J85" i="42"/>
  <c r="J30" i="38"/>
  <c r="I43" i="40"/>
  <c r="J4" i="40"/>
  <c r="J41" i="40"/>
  <c r="J47" i="40"/>
  <c r="J122" i="42"/>
  <c r="J126" i="42"/>
  <c r="I43" i="43"/>
  <c r="J43" i="43" s="1"/>
  <c r="J125" i="38"/>
  <c r="J17" i="41"/>
  <c r="J34" i="41"/>
  <c r="L31" i="41" s="1"/>
  <c r="L33" i="41" s="1"/>
  <c r="J21" i="42"/>
  <c r="J43" i="42" s="1"/>
  <c r="K43" i="42" s="1"/>
  <c r="J83" i="36"/>
  <c r="J87" i="36"/>
  <c r="J7" i="37"/>
  <c r="J17" i="37" s="1"/>
  <c r="K17" i="37" s="1"/>
  <c r="J22" i="39"/>
  <c r="J24" i="40"/>
  <c r="J7" i="41"/>
  <c r="D62" i="41"/>
  <c r="I49" i="41"/>
  <c r="J49" i="41" s="1"/>
  <c r="J59" i="41"/>
  <c r="I59" i="43"/>
  <c r="I65" i="29"/>
  <c r="J65" i="29" s="1"/>
  <c r="I43" i="42"/>
  <c r="J55" i="36"/>
  <c r="J27" i="42"/>
  <c r="J31" i="42"/>
  <c r="J84" i="42"/>
  <c r="J7" i="38"/>
  <c r="J16" i="38"/>
  <c r="J21" i="38"/>
  <c r="J46" i="38"/>
  <c r="J43" i="41"/>
  <c r="J46" i="41" s="1"/>
  <c r="D59" i="42"/>
  <c r="I46" i="42"/>
  <c r="J46" i="42" s="1"/>
  <c r="J59" i="42" s="1"/>
  <c r="K58" i="42" s="1"/>
  <c r="I53" i="43"/>
  <c r="I65" i="43" s="1"/>
  <c r="J65" i="43" s="1"/>
  <c r="D16" i="47"/>
  <c r="A16" i="47"/>
  <c r="F16" i="47" s="1"/>
  <c r="M17" i="35" l="1"/>
  <c r="L17" i="35"/>
  <c r="N17" i="35" s="1"/>
  <c r="D19" i="35" s="1"/>
  <c r="L17" i="37"/>
  <c r="M17" i="37"/>
  <c r="N17" i="37" s="1"/>
  <c r="D19" i="37" s="1"/>
  <c r="M43" i="42"/>
  <c r="L43" i="42"/>
  <c r="N43" i="42"/>
  <c r="K65" i="43"/>
  <c r="L65" i="43"/>
  <c r="M65" i="43"/>
  <c r="D67" i="43" s="1"/>
  <c r="J43" i="39"/>
  <c r="K43" i="39" s="1"/>
  <c r="K42" i="41"/>
  <c r="L42" i="41" s="1"/>
  <c r="L19" i="43"/>
  <c r="K19" i="43"/>
  <c r="M19" i="43"/>
  <c r="K19" i="29"/>
  <c r="L19" i="29"/>
  <c r="M19" i="29"/>
  <c r="K65" i="29"/>
  <c r="M65" i="29" s="1"/>
  <c r="D67" i="29" s="1"/>
  <c r="L65" i="29"/>
  <c r="J43" i="40"/>
  <c r="K43" i="40" s="1"/>
  <c r="K22" i="40"/>
  <c r="L23" i="40" s="1"/>
  <c r="L24" i="40" s="1"/>
  <c r="K33" i="40"/>
  <c r="L33" i="40" s="1"/>
  <c r="L35" i="40" s="1"/>
  <c r="K7" i="40"/>
  <c r="L7" i="40" s="1"/>
  <c r="L8" i="40" s="1"/>
  <c r="L43" i="29"/>
  <c r="K43" i="29"/>
  <c r="M43" i="29" s="1"/>
  <c r="D45" i="29" s="1"/>
  <c r="M17" i="36"/>
  <c r="L17" i="36"/>
  <c r="N17" i="36"/>
  <c r="D19" i="36" s="1"/>
  <c r="J62" i="41"/>
  <c r="K61" i="41" s="1"/>
  <c r="M58" i="42"/>
  <c r="L58" i="42"/>
  <c r="N58" i="42" s="1"/>
  <c r="L38" i="28"/>
  <c r="K38" i="28"/>
  <c r="M38" i="28"/>
  <c r="L43" i="43"/>
  <c r="K43" i="43"/>
  <c r="M43" i="43" s="1"/>
  <c r="D45" i="43" s="1"/>
  <c r="J62" i="38"/>
  <c r="K61" i="38" s="1"/>
  <c r="G16" i="47"/>
  <c r="K16" i="47" s="1"/>
  <c r="C18" i="47"/>
  <c r="B17" i="47"/>
  <c r="E16" i="47"/>
  <c r="I19" i="37" l="1"/>
  <c r="J19" i="37" s="1"/>
  <c r="J32" i="37" s="1"/>
  <c r="K32" i="37" s="1"/>
  <c r="D32" i="37"/>
  <c r="D61" i="42"/>
  <c r="D75" i="42"/>
  <c r="I19" i="35"/>
  <c r="J19" i="35" s="1"/>
  <c r="J32" i="35" s="1"/>
  <c r="K32" i="35" s="1"/>
  <c r="D32" i="35"/>
  <c r="M43" i="39"/>
  <c r="L43" i="39"/>
  <c r="N43" i="39" s="1"/>
  <c r="D45" i="39" s="1"/>
  <c r="I19" i="36"/>
  <c r="J19" i="36" s="1"/>
  <c r="J32" i="36" s="1"/>
  <c r="K32" i="36" s="1"/>
  <c r="D32" i="36"/>
  <c r="L61" i="38"/>
  <c r="N61" i="38" s="1"/>
  <c r="M61" i="38"/>
  <c r="M61" i="41"/>
  <c r="L61" i="41"/>
  <c r="N61" i="41"/>
  <c r="M43" i="40"/>
  <c r="L43" i="40"/>
  <c r="N43" i="40" s="1"/>
  <c r="D45" i="40" s="1"/>
  <c r="A17" i="47"/>
  <c r="F17" i="47" s="1"/>
  <c r="B18" i="47"/>
  <c r="C19" i="47"/>
  <c r="C20" i="47" s="1"/>
  <c r="C21" i="47" s="1"/>
  <c r="C22" i="47" s="1"/>
  <c r="C23" i="47" s="1"/>
  <c r="C24" i="47" s="1"/>
  <c r="C25" i="47" s="1"/>
  <c r="C26" i="47" s="1"/>
  <c r="C27" i="47" s="1"/>
  <c r="C28" i="47" s="1"/>
  <c r="D64" i="38" l="1"/>
  <c r="D78" i="38"/>
  <c r="D58" i="39"/>
  <c r="I45" i="39"/>
  <c r="J45" i="39" s="1"/>
  <c r="J58" i="39" s="1"/>
  <c r="K57" i="39" s="1"/>
  <c r="I45" i="40"/>
  <c r="J45" i="40" s="1"/>
  <c r="J58" i="40" s="1"/>
  <c r="K57" i="40" s="1"/>
  <c r="D58" i="40"/>
  <c r="L32" i="36"/>
  <c r="N32" i="36" s="1"/>
  <c r="M32" i="36"/>
  <c r="D78" i="41"/>
  <c r="D64" i="41"/>
  <c r="D76" i="42"/>
  <c r="I75" i="42"/>
  <c r="J75" i="42" s="1"/>
  <c r="M32" i="35"/>
  <c r="L32" i="35"/>
  <c r="N32" i="35" s="1"/>
  <c r="I61" i="42"/>
  <c r="J61" i="42" s="1"/>
  <c r="J74" i="42" s="1"/>
  <c r="K70" i="42" s="1"/>
  <c r="D74" i="42"/>
  <c r="L32" i="37"/>
  <c r="M32" i="37"/>
  <c r="N32" i="37" s="1"/>
  <c r="E17" i="47"/>
  <c r="C29" i="47"/>
  <c r="B19" i="47"/>
  <c r="A18" i="47"/>
  <c r="F18" i="47" s="1"/>
  <c r="D48" i="36" l="1"/>
  <c r="D34" i="36"/>
  <c r="D48" i="37"/>
  <c r="D34" i="37"/>
  <c r="D48" i="35"/>
  <c r="D34" i="35"/>
  <c r="M57" i="40"/>
  <c r="L57" i="40"/>
  <c r="N57" i="40"/>
  <c r="D60" i="40" s="1"/>
  <c r="L57" i="39"/>
  <c r="M57" i="39"/>
  <c r="N57" i="39" s="1"/>
  <c r="D77" i="42"/>
  <c r="I76" i="42"/>
  <c r="J76" i="42" s="1"/>
  <c r="I64" i="41"/>
  <c r="J64" i="41" s="1"/>
  <c r="J77" i="41" s="1"/>
  <c r="K73" i="41" s="1"/>
  <c r="D77" i="41"/>
  <c r="M70" i="42"/>
  <c r="L70" i="42"/>
  <c r="N70" i="42"/>
  <c r="I78" i="41"/>
  <c r="J78" i="41" s="1"/>
  <c r="D79" i="41"/>
  <c r="I78" i="38"/>
  <c r="J78" i="38" s="1"/>
  <c r="D79" i="38"/>
  <c r="D77" i="38"/>
  <c r="I64" i="38"/>
  <c r="J64" i="38" s="1"/>
  <c r="J77" i="38" s="1"/>
  <c r="K73" i="38" s="1"/>
  <c r="G17" i="47"/>
  <c r="K17" i="47" s="1"/>
  <c r="E18" i="47"/>
  <c r="B20" i="47"/>
  <c r="A19" i="47"/>
  <c r="F19" i="47" s="1"/>
  <c r="D60" i="39" l="1"/>
  <c r="D74" i="39"/>
  <c r="I60" i="40"/>
  <c r="J60" i="40" s="1"/>
  <c r="J73" i="40" s="1"/>
  <c r="K69" i="40" s="1"/>
  <c r="D73" i="40"/>
  <c r="N73" i="38"/>
  <c r="L73" i="38"/>
  <c r="M73" i="38"/>
  <c r="I34" i="35"/>
  <c r="J34" i="35" s="1"/>
  <c r="J47" i="35" s="1"/>
  <c r="K47" i="35" s="1"/>
  <c r="D47" i="35"/>
  <c r="D74" i="40"/>
  <c r="I34" i="37"/>
  <c r="J34" i="37" s="1"/>
  <c r="J47" i="37" s="1"/>
  <c r="K47" i="37" s="1"/>
  <c r="D47" i="37"/>
  <c r="D61" i="35"/>
  <c r="I48" i="35"/>
  <c r="J48" i="35" s="1"/>
  <c r="J61" i="35" s="1"/>
  <c r="K61" i="35" s="1"/>
  <c r="L73" i="41"/>
  <c r="N73" i="41" s="1"/>
  <c r="M73" i="41"/>
  <c r="I79" i="38"/>
  <c r="J79" i="38" s="1"/>
  <c r="D80" i="38"/>
  <c r="D61" i="37"/>
  <c r="I48" i="37"/>
  <c r="J48" i="37" s="1"/>
  <c r="J61" i="37" s="1"/>
  <c r="K61" i="37" s="1"/>
  <c r="I77" i="42"/>
  <c r="J77" i="42" s="1"/>
  <c r="D78" i="42"/>
  <c r="D47" i="36"/>
  <c r="I34" i="36"/>
  <c r="J34" i="36" s="1"/>
  <c r="J47" i="36" s="1"/>
  <c r="K47" i="36" s="1"/>
  <c r="I79" i="41"/>
  <c r="J79" i="41" s="1"/>
  <c r="D80" i="41"/>
  <c r="D61" i="36"/>
  <c r="I48" i="36"/>
  <c r="J48" i="36" s="1"/>
  <c r="J61" i="36" s="1"/>
  <c r="K61" i="36" s="1"/>
  <c r="G18" i="47"/>
  <c r="K18" i="47" s="1"/>
  <c r="B21" i="47"/>
  <c r="A20" i="47"/>
  <c r="F20" i="47" s="1"/>
  <c r="E19" i="47"/>
  <c r="M61" i="37" l="1"/>
  <c r="L61" i="37"/>
  <c r="N61" i="37" s="1"/>
  <c r="D62" i="37" s="1"/>
  <c r="L61" i="35"/>
  <c r="M61" i="35"/>
  <c r="N61" i="35" s="1"/>
  <c r="D62" i="35" s="1"/>
  <c r="L47" i="35"/>
  <c r="M47" i="35"/>
  <c r="N47" i="35" s="1"/>
  <c r="I80" i="38"/>
  <c r="J80" i="38" s="1"/>
  <c r="D81" i="38"/>
  <c r="M69" i="40"/>
  <c r="L69" i="40"/>
  <c r="N69" i="40" s="1"/>
  <c r="L47" i="36"/>
  <c r="M47" i="36"/>
  <c r="N47" i="36" s="1"/>
  <c r="I78" i="42"/>
  <c r="J78" i="42" s="1"/>
  <c r="D79" i="42"/>
  <c r="D75" i="39"/>
  <c r="I74" i="39"/>
  <c r="J74" i="39" s="1"/>
  <c r="I74" i="40"/>
  <c r="J74" i="40" s="1"/>
  <c r="D75" i="40"/>
  <c r="M61" i="36"/>
  <c r="L61" i="36"/>
  <c r="N61" i="36"/>
  <c r="D62" i="36"/>
  <c r="I80" i="41"/>
  <c r="J80" i="41" s="1"/>
  <c r="D81" i="41"/>
  <c r="L47" i="37"/>
  <c r="M47" i="37"/>
  <c r="N47" i="37" s="1"/>
  <c r="I60" i="39"/>
  <c r="J60" i="39" s="1"/>
  <c r="J73" i="39" s="1"/>
  <c r="K69" i="39" s="1"/>
  <c r="D73" i="39"/>
  <c r="G19" i="47"/>
  <c r="K19" i="47" s="1"/>
  <c r="B22" i="47"/>
  <c r="A21" i="47"/>
  <c r="F21" i="47" s="1"/>
  <c r="E20" i="47"/>
  <c r="D75" i="35" l="1"/>
  <c r="I62" i="35"/>
  <c r="J62" i="35" s="1"/>
  <c r="J75" i="35" s="1"/>
  <c r="K75" i="35" s="1"/>
  <c r="I62" i="37"/>
  <c r="J62" i="37" s="1"/>
  <c r="J75" i="37" s="1"/>
  <c r="K75" i="37" s="1"/>
  <c r="D75" i="37"/>
  <c r="D75" i="36"/>
  <c r="I62" i="36"/>
  <c r="J62" i="36" s="1"/>
  <c r="J75" i="36" s="1"/>
  <c r="K75" i="36" s="1"/>
  <c r="I75" i="40"/>
  <c r="J75" i="40" s="1"/>
  <c r="D76" i="40"/>
  <c r="I75" i="39"/>
  <c r="J75" i="39" s="1"/>
  <c r="D76" i="39"/>
  <c r="D82" i="41"/>
  <c r="I81" i="41"/>
  <c r="J81" i="41" s="1"/>
  <c r="D80" i="42"/>
  <c r="I79" i="42"/>
  <c r="J79" i="42" s="1"/>
  <c r="M69" i="39"/>
  <c r="L69" i="39"/>
  <c r="N69" i="39"/>
  <c r="D82" i="38"/>
  <c r="I81" i="38"/>
  <c r="J81" i="38" s="1"/>
  <c r="G21" i="47"/>
  <c r="K21" i="47" s="1"/>
  <c r="G20" i="47"/>
  <c r="K20" i="47" s="1"/>
  <c r="E21" i="47"/>
  <c r="B23" i="47"/>
  <c r="A22" i="47"/>
  <c r="F22" i="47" s="1"/>
  <c r="D77" i="40" l="1"/>
  <c r="I76" i="40"/>
  <c r="J76" i="40" s="1"/>
  <c r="I80" i="42"/>
  <c r="J80" i="42" s="1"/>
  <c r="D81" i="42"/>
  <c r="M75" i="37"/>
  <c r="L75" i="37"/>
  <c r="N75" i="37" s="1"/>
  <c r="D76" i="37" s="1"/>
  <c r="I82" i="41"/>
  <c r="J82" i="41" s="1"/>
  <c r="D83" i="41"/>
  <c r="L75" i="35"/>
  <c r="M75" i="35"/>
  <c r="N75" i="35" s="1"/>
  <c r="D76" i="35" s="1"/>
  <c r="L75" i="36"/>
  <c r="N75" i="36" s="1"/>
  <c r="D76" i="36" s="1"/>
  <c r="M75" i="36"/>
  <c r="I82" i="38"/>
  <c r="J82" i="38" s="1"/>
  <c r="D83" i="38"/>
  <c r="I76" i="39"/>
  <c r="J76" i="39" s="1"/>
  <c r="D77" i="39"/>
  <c r="E22" i="47"/>
  <c r="B24" i="47"/>
  <c r="A23" i="47"/>
  <c r="F23" i="47" s="1"/>
  <c r="D89" i="35" l="1"/>
  <c r="I76" i="35"/>
  <c r="J76" i="35" s="1"/>
  <c r="J89" i="35" s="1"/>
  <c r="K89" i="35" s="1"/>
  <c r="I76" i="36"/>
  <c r="J76" i="36" s="1"/>
  <c r="J89" i="36" s="1"/>
  <c r="K89" i="36" s="1"/>
  <c r="D89" i="36"/>
  <c r="I76" i="37"/>
  <c r="J76" i="37" s="1"/>
  <c r="J89" i="37" s="1"/>
  <c r="K89" i="37" s="1"/>
  <c r="D89" i="37"/>
  <c r="I83" i="41"/>
  <c r="J83" i="41" s="1"/>
  <c r="D84" i="41"/>
  <c r="I84" i="41" s="1"/>
  <c r="J84" i="41" s="1"/>
  <c r="J91" i="41" s="1"/>
  <c r="K87" i="41" s="1"/>
  <c r="D84" i="38"/>
  <c r="I83" i="38"/>
  <c r="J83" i="38" s="1"/>
  <c r="I81" i="42"/>
  <c r="J81" i="42" s="1"/>
  <c r="J88" i="42" s="1"/>
  <c r="K84" i="42" s="1"/>
  <c r="D88" i="42"/>
  <c r="I77" i="40"/>
  <c r="J77" i="40" s="1"/>
  <c r="D78" i="40"/>
  <c r="I77" i="39"/>
  <c r="J77" i="39" s="1"/>
  <c r="D78" i="39"/>
  <c r="D91" i="41"/>
  <c r="G23" i="47"/>
  <c r="K23" i="47" s="1"/>
  <c r="G22" i="47"/>
  <c r="K22" i="47" s="1"/>
  <c r="E23" i="47"/>
  <c r="B25" i="47"/>
  <c r="A24" i="47"/>
  <c r="F24" i="47" s="1"/>
  <c r="M87" i="41" l="1"/>
  <c r="L87" i="41"/>
  <c r="N87" i="41" s="1"/>
  <c r="D92" i="41" s="1"/>
  <c r="D90" i="36"/>
  <c r="I78" i="39"/>
  <c r="J78" i="39" s="1"/>
  <c r="D79" i="39"/>
  <c r="L89" i="37"/>
  <c r="N89" i="37" s="1"/>
  <c r="D90" i="37" s="1"/>
  <c r="M89" i="37"/>
  <c r="L89" i="36"/>
  <c r="M89" i="36"/>
  <c r="N89" i="36"/>
  <c r="I84" i="38"/>
  <c r="J84" i="38" s="1"/>
  <c r="J91" i="38" s="1"/>
  <c r="K87" i="38" s="1"/>
  <c r="D91" i="38"/>
  <c r="M84" i="42"/>
  <c r="L84" i="42"/>
  <c r="N84" i="42" s="1"/>
  <c r="D89" i="42" s="1"/>
  <c r="M89" i="35"/>
  <c r="L89" i="35"/>
  <c r="N89" i="35"/>
  <c r="D90" i="35" s="1"/>
  <c r="D79" i="40"/>
  <c r="I78" i="40"/>
  <c r="J78" i="40" s="1"/>
  <c r="G24" i="47"/>
  <c r="K24" i="47" s="1"/>
  <c r="B26" i="47"/>
  <c r="A25" i="47"/>
  <c r="F25" i="47" s="1"/>
  <c r="E24" i="47"/>
  <c r="D103" i="35" l="1"/>
  <c r="I90" i="35"/>
  <c r="J90" i="35" s="1"/>
  <c r="J103" i="35" s="1"/>
  <c r="K103" i="35" s="1"/>
  <c r="I89" i="42"/>
  <c r="J89" i="42" s="1"/>
  <c r="J102" i="42" s="1"/>
  <c r="K98" i="42" s="1"/>
  <c r="D102" i="42"/>
  <c r="D103" i="37"/>
  <c r="I90" i="37"/>
  <c r="J90" i="37" s="1"/>
  <c r="J103" i="37" s="1"/>
  <c r="K103" i="37" s="1"/>
  <c r="I92" i="41"/>
  <c r="J92" i="41" s="1"/>
  <c r="J105" i="41" s="1"/>
  <c r="K101" i="41" s="1"/>
  <c r="D105" i="41"/>
  <c r="M87" i="38"/>
  <c r="L87" i="38"/>
  <c r="N87" i="38"/>
  <c r="D92" i="38" s="1"/>
  <c r="D103" i="36"/>
  <c r="I90" i="36"/>
  <c r="J90" i="36" s="1"/>
  <c r="J103" i="36" s="1"/>
  <c r="K103" i="36" s="1"/>
  <c r="D80" i="40"/>
  <c r="I79" i="40"/>
  <c r="J79" i="40" s="1"/>
  <c r="D80" i="39"/>
  <c r="I79" i="39"/>
  <c r="J79" i="39" s="1"/>
  <c r="E25" i="47"/>
  <c r="B27" i="47"/>
  <c r="A26" i="47"/>
  <c r="F26" i="47" s="1"/>
  <c r="D105" i="38" l="1"/>
  <c r="I92" i="38"/>
  <c r="J92" i="38" s="1"/>
  <c r="J105" i="38" s="1"/>
  <c r="K101" i="38" s="1"/>
  <c r="L103" i="37"/>
  <c r="N103" i="37" s="1"/>
  <c r="D104" i="37" s="1"/>
  <c r="I104" i="37" s="1"/>
  <c r="J104" i="37" s="1"/>
  <c r="M103" i="37"/>
  <c r="M101" i="41"/>
  <c r="L101" i="41"/>
  <c r="N101" i="41" s="1"/>
  <c r="D106" i="41" s="1"/>
  <c r="I80" i="39"/>
  <c r="J80" i="39" s="1"/>
  <c r="J87" i="39" s="1"/>
  <c r="K83" i="39" s="1"/>
  <c r="D87" i="39"/>
  <c r="I80" i="40"/>
  <c r="J80" i="40" s="1"/>
  <c r="J87" i="40" s="1"/>
  <c r="K83" i="40" s="1"/>
  <c r="D87" i="40"/>
  <c r="M103" i="36"/>
  <c r="L103" i="36"/>
  <c r="N103" i="36" s="1"/>
  <c r="D104" i="36" s="1"/>
  <c r="I104" i="36" s="1"/>
  <c r="J104" i="36" s="1"/>
  <c r="M103" i="35"/>
  <c r="L103" i="35"/>
  <c r="N103" i="35" s="1"/>
  <c r="D104" i="35" s="1"/>
  <c r="I104" i="35" s="1"/>
  <c r="J104" i="35" s="1"/>
  <c r="L98" i="42"/>
  <c r="N98" i="42" s="1"/>
  <c r="D103" i="42" s="1"/>
  <c r="M98" i="42"/>
  <c r="G25" i="47"/>
  <c r="K25" i="47" s="1"/>
  <c r="E26" i="47"/>
  <c r="A27" i="47"/>
  <c r="F27" i="47" s="1"/>
  <c r="B28" i="47"/>
  <c r="D119" i="41" l="1"/>
  <c r="I106" i="41"/>
  <c r="J106" i="41" s="1"/>
  <c r="J119" i="41" s="1"/>
  <c r="K115" i="41" s="1"/>
  <c r="I103" i="42"/>
  <c r="J103" i="42" s="1"/>
  <c r="J116" i="42" s="1"/>
  <c r="K112" i="42" s="1"/>
  <c r="D116" i="42"/>
  <c r="L83" i="39"/>
  <c r="M83" i="39"/>
  <c r="N83" i="39" s="1"/>
  <c r="D88" i="39" s="1"/>
  <c r="L101" i="38"/>
  <c r="M101" i="38"/>
  <c r="N101" i="38"/>
  <c r="D106" i="38" s="1"/>
  <c r="L83" i="40"/>
  <c r="N83" i="40" s="1"/>
  <c r="D88" i="40" s="1"/>
  <c r="M83" i="40"/>
  <c r="G26" i="47"/>
  <c r="K26" i="47" s="1"/>
  <c r="E27" i="47"/>
  <c r="A28" i="47"/>
  <c r="F28" i="47" s="1"/>
  <c r="B29" i="47"/>
  <c r="D101" i="40" l="1"/>
  <c r="I88" i="40"/>
  <c r="J88" i="40" s="1"/>
  <c r="J101" i="40" s="1"/>
  <c r="K97" i="40" s="1"/>
  <c r="D119" i="38"/>
  <c r="I106" i="38"/>
  <c r="J106" i="38" s="1"/>
  <c r="J119" i="38" s="1"/>
  <c r="K115" i="38" s="1"/>
  <c r="D101" i="39"/>
  <c r="I88" i="39"/>
  <c r="J88" i="39" s="1"/>
  <c r="J101" i="39" s="1"/>
  <c r="K97" i="39" s="1"/>
  <c r="M112" i="42"/>
  <c r="L112" i="42"/>
  <c r="N112" i="42"/>
  <c r="D117" i="42" s="1"/>
  <c r="M115" i="41"/>
  <c r="N115" i="41" s="1"/>
  <c r="D120" i="41" s="1"/>
  <c r="L115" i="41"/>
  <c r="G27" i="47"/>
  <c r="K27" i="47" s="1"/>
  <c r="G28" i="47"/>
  <c r="K28" i="47" s="1"/>
  <c r="A29" i="47"/>
  <c r="F29" i="47" s="1"/>
  <c r="E28" i="47"/>
  <c r="I120" i="41" l="1"/>
  <c r="J120" i="41" s="1"/>
  <c r="J133" i="41" s="1"/>
  <c r="K129" i="41" s="1"/>
  <c r="D133" i="41"/>
  <c r="D130" i="42"/>
  <c r="I117" i="42"/>
  <c r="J117" i="42" s="1"/>
  <c r="J130" i="42" s="1"/>
  <c r="K126" i="42" s="1"/>
  <c r="L97" i="39"/>
  <c r="M97" i="39"/>
  <c r="N97" i="39" s="1"/>
  <c r="D102" i="39" s="1"/>
  <c r="L115" i="38"/>
  <c r="M115" i="38"/>
  <c r="N115" i="38"/>
  <c r="D120" i="38" s="1"/>
  <c r="L97" i="40"/>
  <c r="M97" i="40"/>
  <c r="N97" i="40" s="1"/>
  <c r="D102" i="40" s="1"/>
  <c r="H27" i="47"/>
  <c r="J27" i="47" s="1"/>
  <c r="H16" i="47"/>
  <c r="H17" i="47"/>
  <c r="H18" i="47"/>
  <c r="H19" i="47"/>
  <c r="H21" i="47"/>
  <c r="H20" i="47"/>
  <c r="H22" i="47"/>
  <c r="H23" i="47"/>
  <c r="H26" i="47"/>
  <c r="H24" i="47"/>
  <c r="H28" i="47"/>
  <c r="I28" i="47" s="1"/>
  <c r="H25" i="47"/>
  <c r="E29" i="47"/>
  <c r="I102" i="40" l="1"/>
  <c r="J102" i="40" s="1"/>
  <c r="J115" i="40" s="1"/>
  <c r="K111" i="40" s="1"/>
  <c r="D115" i="40"/>
  <c r="I120" i="38"/>
  <c r="J120" i="38" s="1"/>
  <c r="J133" i="38" s="1"/>
  <c r="K129" i="38" s="1"/>
  <c r="D133" i="38"/>
  <c r="D115" i="39"/>
  <c r="I102" i="39"/>
  <c r="J102" i="39" s="1"/>
  <c r="J115" i="39" s="1"/>
  <c r="K111" i="39" s="1"/>
  <c r="L126" i="42"/>
  <c r="M126" i="42"/>
  <c r="N126" i="42"/>
  <c r="D131" i="42" s="1"/>
  <c r="I131" i="42" s="1"/>
  <c r="J131" i="42" s="1"/>
  <c r="M129" i="41"/>
  <c r="L129" i="41"/>
  <c r="N129" i="41" s="1"/>
  <c r="D134" i="41" s="1"/>
  <c r="I134" i="41" s="1"/>
  <c r="J134" i="41" s="1"/>
  <c r="I27" i="47"/>
  <c r="L27" i="47" s="1"/>
  <c r="J28" i="47"/>
  <c r="L28" i="47" s="1"/>
  <c r="H29" i="47"/>
  <c r="I29" i="47" s="1"/>
  <c r="J23" i="47"/>
  <c r="I23" i="47"/>
  <c r="I19" i="47"/>
  <c r="J19" i="47"/>
  <c r="I22" i="47"/>
  <c r="J22" i="47"/>
  <c r="J18" i="47"/>
  <c r="I18" i="47"/>
  <c r="I24" i="47"/>
  <c r="J24" i="47"/>
  <c r="I20" i="47"/>
  <c r="J20" i="47"/>
  <c r="J17" i="47"/>
  <c r="I17" i="47"/>
  <c r="J25" i="47"/>
  <c r="I25" i="47"/>
  <c r="J26" i="47"/>
  <c r="I26" i="47"/>
  <c r="I21" i="47"/>
  <c r="J21" i="47"/>
  <c r="J16" i="47"/>
  <c r="I16" i="47"/>
  <c r="G29" i="47"/>
  <c r="M111" i="39" l="1"/>
  <c r="L111" i="39"/>
  <c r="N111" i="39"/>
  <c r="L129" i="38"/>
  <c r="N129" i="38" s="1"/>
  <c r="D134" i="38" s="1"/>
  <c r="I134" i="38" s="1"/>
  <c r="J134" i="38" s="1"/>
  <c r="M129" i="38"/>
  <c r="D116" i="39"/>
  <c r="L111" i="40"/>
  <c r="M111" i="40"/>
  <c r="N111" i="40"/>
  <c r="D116" i="40" s="1"/>
  <c r="G30" i="47"/>
  <c r="K29" i="47"/>
  <c r="J29" i="47"/>
  <c r="B34" i="47"/>
  <c r="L25" i="47"/>
  <c r="L22" i="47"/>
  <c r="L21" i="47"/>
  <c r="L20" i="47"/>
  <c r="L18" i="47"/>
  <c r="L24" i="47"/>
  <c r="L23" i="47"/>
  <c r="L16" i="47"/>
  <c r="L26" i="47"/>
  <c r="L17" i="47"/>
  <c r="L19" i="47"/>
  <c r="D129" i="40" l="1"/>
  <c r="I116" i="40"/>
  <c r="J116" i="40" s="1"/>
  <c r="J129" i="40" s="1"/>
  <c r="K125" i="40" s="1"/>
  <c r="D129" i="39"/>
  <c r="I116" i="39"/>
  <c r="J116" i="39" s="1"/>
  <c r="J129" i="39" s="1"/>
  <c r="K125" i="39" s="1"/>
  <c r="L29" i="47"/>
  <c r="L30" i="47" s="1"/>
  <c r="R22" i="47" s="1"/>
  <c r="R24" i="47" s="1"/>
  <c r="C34" i="47"/>
  <c r="H45" i="47"/>
  <c r="H41" i="47"/>
  <c r="H37" i="47"/>
  <c r="B46" i="47"/>
  <c r="A46" i="47" s="1"/>
  <c r="B42" i="47"/>
  <c r="A42" i="47" s="1"/>
  <c r="B38" i="47"/>
  <c r="A38" i="47" s="1"/>
  <c r="H48" i="47"/>
  <c r="H44" i="47"/>
  <c r="H40" i="47"/>
  <c r="H36" i="47"/>
  <c r="B45" i="47"/>
  <c r="A45" i="47" s="1"/>
  <c r="B41" i="47"/>
  <c r="A41" i="47" s="1"/>
  <c r="B37" i="47"/>
  <c r="A37" i="47" s="1"/>
  <c r="H47" i="47"/>
  <c r="H43" i="47"/>
  <c r="H39" i="47"/>
  <c r="H35" i="47"/>
  <c r="B44" i="47"/>
  <c r="A44" i="47" s="1"/>
  <c r="B40" i="47"/>
  <c r="A40" i="47" s="1"/>
  <c r="B36" i="47"/>
  <c r="A36" i="47" s="1"/>
  <c r="H46" i="47"/>
  <c r="H42" i="47"/>
  <c r="H38" i="47"/>
  <c r="H34" i="47"/>
  <c r="B43" i="47"/>
  <c r="A43" i="47" s="1"/>
  <c r="B39" i="47"/>
  <c r="A39" i="47" s="1"/>
  <c r="B35" i="47"/>
  <c r="A35" i="47" s="1"/>
  <c r="A34" i="47"/>
  <c r="B48" i="47" l="1"/>
  <c r="A48" i="47" s="1"/>
  <c r="J48" i="47" s="1"/>
  <c r="B47" i="47"/>
  <c r="A47" i="47" s="1"/>
  <c r="L125" i="39"/>
  <c r="N125" i="39" s="1"/>
  <c r="D130" i="39" s="1"/>
  <c r="I130" i="39" s="1"/>
  <c r="J130" i="39" s="1"/>
  <c r="M125" i="39"/>
  <c r="L125" i="40"/>
  <c r="N125" i="40" s="1"/>
  <c r="D130" i="40" s="1"/>
  <c r="I130" i="40" s="1"/>
  <c r="J130" i="40" s="1"/>
  <c r="M125" i="40"/>
  <c r="B53" i="47"/>
  <c r="A53" i="47" s="1"/>
  <c r="F36" i="47"/>
  <c r="G36" i="47" s="1"/>
  <c r="K36" i="47" s="1"/>
  <c r="J36" i="47"/>
  <c r="F37" i="47"/>
  <c r="G37" i="47" s="1"/>
  <c r="K37" i="47" s="1"/>
  <c r="F38" i="47"/>
  <c r="G38" i="47" s="1"/>
  <c r="K38" i="47" s="1"/>
  <c r="J38" i="47"/>
  <c r="F41" i="47"/>
  <c r="G41" i="47" s="1"/>
  <c r="K41" i="47" s="1"/>
  <c r="J41" i="47"/>
  <c r="F42" i="47"/>
  <c r="G42" i="47" s="1"/>
  <c r="K42" i="47" s="1"/>
  <c r="J42" i="47"/>
  <c r="F47" i="47"/>
  <c r="G47" i="47" s="1"/>
  <c r="K47" i="47" s="1"/>
  <c r="J47" i="47"/>
  <c r="F48" i="47"/>
  <c r="G48" i="47" s="1"/>
  <c r="K48" i="47" s="1"/>
  <c r="F35" i="47"/>
  <c r="G35" i="47" s="1"/>
  <c r="K35" i="47" s="1"/>
  <c r="J35" i="47"/>
  <c r="F39" i="47"/>
  <c r="G39" i="47" s="1"/>
  <c r="K39" i="47" s="1"/>
  <c r="J39" i="47"/>
  <c r="F40" i="47"/>
  <c r="G40" i="47" s="1"/>
  <c r="K40" i="47" s="1"/>
  <c r="J40" i="47"/>
  <c r="F43" i="47"/>
  <c r="G43" i="47" s="1"/>
  <c r="K43" i="47" s="1"/>
  <c r="J43" i="47"/>
  <c r="F44" i="47"/>
  <c r="G44" i="47" s="1"/>
  <c r="K44" i="47" s="1"/>
  <c r="J44" i="47"/>
  <c r="F45" i="47"/>
  <c r="G45" i="47" s="1"/>
  <c r="K45" i="47" s="1"/>
  <c r="J45" i="47"/>
  <c r="F46" i="47"/>
  <c r="G46" i="47" s="1"/>
  <c r="K46" i="47" s="1"/>
  <c r="J46" i="47"/>
  <c r="D34" i="47"/>
  <c r="C48" i="47"/>
  <c r="E48" i="47" s="1"/>
  <c r="I48" i="47" s="1"/>
  <c r="C44" i="47"/>
  <c r="E44" i="47" s="1"/>
  <c r="I44" i="47" s="1"/>
  <c r="C40" i="47"/>
  <c r="E40" i="47" s="1"/>
  <c r="I40" i="47" s="1"/>
  <c r="C36" i="47"/>
  <c r="E36" i="47" s="1"/>
  <c r="I36" i="47" s="1"/>
  <c r="C47" i="47"/>
  <c r="E47" i="47" s="1"/>
  <c r="I47" i="47" s="1"/>
  <c r="C43" i="47"/>
  <c r="E43" i="47" s="1"/>
  <c r="I43" i="47" s="1"/>
  <c r="C39" i="47"/>
  <c r="E39" i="47" s="1"/>
  <c r="I39" i="47" s="1"/>
  <c r="C35" i="47"/>
  <c r="E35" i="47" s="1"/>
  <c r="I35" i="47" s="1"/>
  <c r="C46" i="47"/>
  <c r="E46" i="47" s="1"/>
  <c r="I46" i="47" s="1"/>
  <c r="C42" i="47"/>
  <c r="E42" i="47" s="1"/>
  <c r="I42" i="47" s="1"/>
  <c r="C38" i="47"/>
  <c r="E38" i="47" s="1"/>
  <c r="I38" i="47" s="1"/>
  <c r="C45" i="47"/>
  <c r="E45" i="47" s="1"/>
  <c r="I45" i="47" s="1"/>
  <c r="C41" i="47"/>
  <c r="E41" i="47" s="1"/>
  <c r="I41" i="47" s="1"/>
  <c r="C37" i="47"/>
  <c r="E37" i="47" s="1"/>
  <c r="R23" i="47"/>
  <c r="R25" i="47" s="1"/>
  <c r="R26" i="47" s="1"/>
  <c r="Q30" i="47" s="1"/>
  <c r="F34" i="47" s="1"/>
  <c r="B65" i="47" l="1"/>
  <c r="A65" i="47" s="1"/>
  <c r="F65" i="47" s="1"/>
  <c r="G65" i="47" s="1"/>
  <c r="K65" i="47" s="1"/>
  <c r="B63" i="47"/>
  <c r="A63" i="47" s="1"/>
  <c r="F63" i="47" s="1"/>
  <c r="G63" i="47" s="1"/>
  <c r="K63" i="47" s="1"/>
  <c r="H67" i="47"/>
  <c r="H61" i="47"/>
  <c r="B62" i="47"/>
  <c r="A62" i="47" s="1"/>
  <c r="F62" i="47" s="1"/>
  <c r="G62" i="47" s="1"/>
  <c r="K62" i="47" s="1"/>
  <c r="B57" i="47"/>
  <c r="A57" i="47" s="1"/>
  <c r="F57" i="47" s="1"/>
  <c r="G57" i="47" s="1"/>
  <c r="K57" i="47" s="1"/>
  <c r="B59" i="47"/>
  <c r="A59" i="47" s="1"/>
  <c r="F59" i="47" s="1"/>
  <c r="G59" i="47" s="1"/>
  <c r="K59" i="47" s="1"/>
  <c r="H60" i="47"/>
  <c r="H65" i="47"/>
  <c r="B58" i="47"/>
  <c r="A58" i="47" s="1"/>
  <c r="F58" i="47" s="1"/>
  <c r="G58" i="47" s="1"/>
  <c r="K58" i="47" s="1"/>
  <c r="B64" i="47"/>
  <c r="A64" i="47" s="1"/>
  <c r="F64" i="47" s="1"/>
  <c r="G64" i="47" s="1"/>
  <c r="K64" i="47" s="1"/>
  <c r="H59" i="47"/>
  <c r="H64" i="47"/>
  <c r="H58" i="47"/>
  <c r="B61" i="47"/>
  <c r="A61" i="47" s="1"/>
  <c r="F61" i="47" s="1"/>
  <c r="G61" i="47" s="1"/>
  <c r="K61" i="47" s="1"/>
  <c r="B54" i="47"/>
  <c r="A54" i="47" s="1"/>
  <c r="F54" i="47" s="1"/>
  <c r="G54" i="47" s="1"/>
  <c r="K54" i="47" s="1"/>
  <c r="H63" i="47"/>
  <c r="H53" i="47"/>
  <c r="H62" i="47"/>
  <c r="J62" i="47" s="1"/>
  <c r="C53" i="47"/>
  <c r="C57" i="47" s="1"/>
  <c r="H66" i="47"/>
  <c r="B56" i="47"/>
  <c r="A56" i="47" s="1"/>
  <c r="B55" i="47"/>
  <c r="A55" i="47" s="1"/>
  <c r="B60" i="47"/>
  <c r="A60" i="47" s="1"/>
  <c r="F60" i="47" s="1"/>
  <c r="G60" i="47" s="1"/>
  <c r="K60" i="47" s="1"/>
  <c r="H55" i="47"/>
  <c r="H56" i="47"/>
  <c r="H57" i="47"/>
  <c r="H54" i="47"/>
  <c r="J37" i="47"/>
  <c r="I37" i="47"/>
  <c r="F55" i="47"/>
  <c r="G55" i="47" s="1"/>
  <c r="K55" i="47" s="1"/>
  <c r="J53" i="47"/>
  <c r="B66" i="47" l="1"/>
  <c r="A66" i="47" s="1"/>
  <c r="F66" i="47" s="1"/>
  <c r="G66" i="47" s="1"/>
  <c r="K66" i="47" s="1"/>
  <c r="J60" i="47"/>
  <c r="J55" i="47"/>
  <c r="J54" i="47"/>
  <c r="J65" i="47"/>
  <c r="C60" i="47"/>
  <c r="E60" i="47" s="1"/>
  <c r="I60" i="47" s="1"/>
  <c r="L60" i="47" s="1"/>
  <c r="J57" i="47"/>
  <c r="D53" i="47"/>
  <c r="E53" i="47" s="1"/>
  <c r="I53" i="47" s="1"/>
  <c r="E57" i="47"/>
  <c r="I57" i="47" s="1"/>
  <c r="J63" i="47"/>
  <c r="J58" i="47"/>
  <c r="B67" i="47"/>
  <c r="A67" i="47" s="1"/>
  <c r="F67" i="47" s="1"/>
  <c r="G67" i="47" s="1"/>
  <c r="K67" i="47" s="1"/>
  <c r="C63" i="47"/>
  <c r="E63" i="47" s="1"/>
  <c r="I63" i="47" s="1"/>
  <c r="C58" i="47"/>
  <c r="E58" i="47" s="1"/>
  <c r="I58" i="47" s="1"/>
  <c r="J56" i="47"/>
  <c r="J59" i="47"/>
  <c r="C56" i="47"/>
  <c r="E56" i="47" s="1"/>
  <c r="I56" i="47" s="1"/>
  <c r="C67" i="47"/>
  <c r="F56" i="47"/>
  <c r="G56" i="47" s="1"/>
  <c r="K56" i="47" s="1"/>
  <c r="J64" i="47"/>
  <c r="J61" i="47"/>
  <c r="C65" i="47"/>
  <c r="E65" i="47" s="1"/>
  <c r="I65" i="47" s="1"/>
  <c r="C59" i="47"/>
  <c r="E59" i="47" s="1"/>
  <c r="I59" i="47" s="1"/>
  <c r="C64" i="47"/>
  <c r="E64" i="47" s="1"/>
  <c r="I64" i="47" s="1"/>
  <c r="C61" i="47"/>
  <c r="E61" i="47" s="1"/>
  <c r="I61" i="47" s="1"/>
  <c r="L61" i="47" s="1"/>
  <c r="C54" i="47"/>
  <c r="E54" i="47" s="1"/>
  <c r="I54" i="47" s="1"/>
  <c r="C66" i="47"/>
  <c r="E66" i="47" s="1"/>
  <c r="I66" i="47" s="1"/>
  <c r="C62" i="47"/>
  <c r="E62" i="47" s="1"/>
  <c r="I62" i="47" s="1"/>
  <c r="L62" i="47" s="1"/>
  <c r="C55" i="47"/>
  <c r="E55" i="47" s="1"/>
  <c r="I55" i="47" s="1"/>
  <c r="L55" i="47" s="1"/>
  <c r="B72" i="47"/>
  <c r="B76" i="47" s="1"/>
  <c r="A76" i="47" s="1"/>
  <c r="F76" i="47" s="1"/>
  <c r="G76" i="47" s="1"/>
  <c r="K76" i="47" s="1"/>
  <c r="J66" i="47"/>
  <c r="L65" i="47" l="1"/>
  <c r="L63" i="47"/>
  <c r="L64" i="47"/>
  <c r="L58" i="47"/>
  <c r="L54" i="47"/>
  <c r="L57" i="47"/>
  <c r="L59" i="47"/>
  <c r="L56" i="47"/>
  <c r="E67" i="47"/>
  <c r="I67" i="47" s="1"/>
  <c r="J67" i="47"/>
  <c r="H77" i="47"/>
  <c r="H73" i="47"/>
  <c r="B78" i="47"/>
  <c r="A78" i="47" s="1"/>
  <c r="F78" i="47" s="1"/>
  <c r="G78" i="47" s="1"/>
  <c r="K78" i="47" s="1"/>
  <c r="B74" i="47"/>
  <c r="A74" i="47" s="1"/>
  <c r="F74" i="47" s="1"/>
  <c r="G74" i="47" s="1"/>
  <c r="K74" i="47" s="1"/>
  <c r="H80" i="47"/>
  <c r="L66" i="47"/>
  <c r="B75" i="47"/>
  <c r="A75" i="47" s="1"/>
  <c r="F75" i="47" s="1"/>
  <c r="G75" i="47" s="1"/>
  <c r="K75" i="47" s="1"/>
  <c r="H82" i="47"/>
  <c r="H79" i="47"/>
  <c r="B82" i="47"/>
  <c r="A82" i="47" s="1"/>
  <c r="H86" i="47"/>
  <c r="B84" i="47"/>
  <c r="A84" i="47" s="1"/>
  <c r="F84" i="47" s="1"/>
  <c r="G84" i="47" s="1"/>
  <c r="K84" i="47" s="1"/>
  <c r="H72" i="47"/>
  <c r="H81" i="47"/>
  <c r="A72" i="47"/>
  <c r="H85" i="47"/>
  <c r="C72" i="47"/>
  <c r="H76" i="47"/>
  <c r="J76" i="47" s="1"/>
  <c r="H74" i="47"/>
  <c r="B81" i="47"/>
  <c r="A81" i="47" s="1"/>
  <c r="B79" i="47"/>
  <c r="A79" i="47" s="1"/>
  <c r="F79" i="47" s="1"/>
  <c r="G79" i="47" s="1"/>
  <c r="K79" i="47" s="1"/>
  <c r="H75" i="47"/>
  <c r="B80" i="47"/>
  <c r="A80" i="47" s="1"/>
  <c r="H78" i="47"/>
  <c r="B77" i="47"/>
  <c r="A77" i="47" s="1"/>
  <c r="F77" i="47" s="1"/>
  <c r="G77" i="47" s="1"/>
  <c r="K77" i="47" s="1"/>
  <c r="H84" i="47"/>
  <c r="B83" i="47"/>
  <c r="A83" i="47" s="1"/>
  <c r="B73" i="47"/>
  <c r="A73" i="47" s="1"/>
  <c r="F73" i="47" s="1"/>
  <c r="G73" i="47" s="1"/>
  <c r="K73" i="47" s="1"/>
  <c r="H83" i="47"/>
  <c r="B85" i="47" l="1"/>
  <c r="A85" i="47" s="1"/>
  <c r="F85" i="47" s="1"/>
  <c r="G85" i="47" s="1"/>
  <c r="K85" i="47" s="1"/>
  <c r="J78" i="47"/>
  <c r="J74" i="47"/>
  <c r="L67" i="47"/>
  <c r="J84" i="47"/>
  <c r="J75" i="47"/>
  <c r="J79" i="47"/>
  <c r="B86" i="47"/>
  <c r="A86" i="47" s="1"/>
  <c r="F86" i="47" s="1"/>
  <c r="G86" i="47" s="1"/>
  <c r="K86" i="47" s="1"/>
  <c r="J82" i="47"/>
  <c r="B91" i="47"/>
  <c r="B102" i="47" s="1"/>
  <c r="A102" i="47" s="1"/>
  <c r="J73" i="47"/>
  <c r="J72" i="47"/>
  <c r="F82" i="47"/>
  <c r="G82" i="47" s="1"/>
  <c r="K82" i="47" s="1"/>
  <c r="C83" i="47"/>
  <c r="E83" i="47" s="1"/>
  <c r="I83" i="47" s="1"/>
  <c r="C73" i="47"/>
  <c r="E73" i="47" s="1"/>
  <c r="I73" i="47" s="1"/>
  <c r="D72" i="47"/>
  <c r="E72" i="47" s="1"/>
  <c r="I72" i="47" s="1"/>
  <c r="C78" i="47"/>
  <c r="E78" i="47" s="1"/>
  <c r="I78" i="47" s="1"/>
  <c r="L78" i="47" s="1"/>
  <c r="C76" i="47"/>
  <c r="E76" i="47" s="1"/>
  <c r="I76" i="47" s="1"/>
  <c r="L76" i="47" s="1"/>
  <c r="C79" i="47"/>
  <c r="E79" i="47" s="1"/>
  <c r="I79" i="47" s="1"/>
  <c r="L79" i="47" s="1"/>
  <c r="C77" i="47"/>
  <c r="E77" i="47" s="1"/>
  <c r="I77" i="47" s="1"/>
  <c r="C82" i="47"/>
  <c r="E82" i="47" s="1"/>
  <c r="I82" i="47" s="1"/>
  <c r="C74" i="47"/>
  <c r="E74" i="47" s="1"/>
  <c r="I74" i="47" s="1"/>
  <c r="C85" i="47"/>
  <c r="E85" i="47" s="1"/>
  <c r="I85" i="47" s="1"/>
  <c r="C86" i="47"/>
  <c r="E86" i="47" s="1"/>
  <c r="I86" i="47" s="1"/>
  <c r="C81" i="47"/>
  <c r="E81" i="47" s="1"/>
  <c r="I81" i="47" s="1"/>
  <c r="C84" i="47"/>
  <c r="E84" i="47" s="1"/>
  <c r="I84" i="47" s="1"/>
  <c r="C80" i="47"/>
  <c r="E80" i="47" s="1"/>
  <c r="I80" i="47" s="1"/>
  <c r="C75" i="47"/>
  <c r="E75" i="47" s="1"/>
  <c r="I75" i="47" s="1"/>
  <c r="F81" i="47"/>
  <c r="G81" i="47" s="1"/>
  <c r="K81" i="47" s="1"/>
  <c r="J81" i="47"/>
  <c r="J77" i="47"/>
  <c r="F83" i="47"/>
  <c r="G83" i="47" s="1"/>
  <c r="K83" i="47" s="1"/>
  <c r="J83" i="47"/>
  <c r="F80" i="47"/>
  <c r="G80" i="47" s="1"/>
  <c r="K80" i="47" s="1"/>
  <c r="J80" i="47"/>
  <c r="J85" i="47"/>
  <c r="E34" i="47"/>
  <c r="I34" i="47" s="1"/>
  <c r="G34" i="47"/>
  <c r="L74" i="47" l="1"/>
  <c r="J86" i="47"/>
  <c r="L73" i="47"/>
  <c r="L84" i="47"/>
  <c r="L75" i="47"/>
  <c r="H93" i="47"/>
  <c r="H95" i="47"/>
  <c r="H92" i="47"/>
  <c r="H100" i="47"/>
  <c r="H99" i="47"/>
  <c r="H105" i="47"/>
  <c r="H96" i="47"/>
  <c r="H101" i="47"/>
  <c r="H94" i="47"/>
  <c r="B93" i="47"/>
  <c r="A93" i="47" s="1"/>
  <c r="F93" i="47" s="1"/>
  <c r="G93" i="47" s="1"/>
  <c r="K93" i="47" s="1"/>
  <c r="B94" i="47"/>
  <c r="A94" i="47" s="1"/>
  <c r="B97" i="47"/>
  <c r="A97" i="47" s="1"/>
  <c r="F97" i="47" s="1"/>
  <c r="G97" i="47" s="1"/>
  <c r="K97" i="47" s="1"/>
  <c r="H102" i="47"/>
  <c r="J102" i="47" s="1"/>
  <c r="H104" i="47"/>
  <c r="H98" i="47"/>
  <c r="B95" i="47"/>
  <c r="A95" i="47" s="1"/>
  <c r="F95" i="47" s="1"/>
  <c r="G95" i="47" s="1"/>
  <c r="K95" i="47" s="1"/>
  <c r="B98" i="47"/>
  <c r="A98" i="47" s="1"/>
  <c r="F98" i="47" s="1"/>
  <c r="G98" i="47" s="1"/>
  <c r="K98" i="47" s="1"/>
  <c r="H103" i="47"/>
  <c r="B101" i="47"/>
  <c r="A101" i="47" s="1"/>
  <c r="F101" i="47" s="1"/>
  <c r="G101" i="47" s="1"/>
  <c r="K101" i="47" s="1"/>
  <c r="B103" i="47"/>
  <c r="A103" i="47" s="1"/>
  <c r="F103" i="47" s="1"/>
  <c r="G103" i="47" s="1"/>
  <c r="K103" i="47" s="1"/>
  <c r="H91" i="47"/>
  <c r="A91" i="47"/>
  <c r="B96" i="47"/>
  <c r="A96" i="47" s="1"/>
  <c r="F96" i="47" s="1"/>
  <c r="G96" i="47" s="1"/>
  <c r="K96" i="47" s="1"/>
  <c r="B92" i="47"/>
  <c r="A92" i="47" s="1"/>
  <c r="B99" i="47"/>
  <c r="A99" i="47" s="1"/>
  <c r="C91" i="47"/>
  <c r="C101" i="47" s="1"/>
  <c r="H97" i="47"/>
  <c r="B100" i="47"/>
  <c r="A100" i="47" s="1"/>
  <c r="F100" i="47" s="1"/>
  <c r="G100" i="47" s="1"/>
  <c r="K100" i="47" s="1"/>
  <c r="L82" i="47"/>
  <c r="L81" i="47"/>
  <c r="L80" i="47"/>
  <c r="L77" i="47"/>
  <c r="L83" i="47"/>
  <c r="F102" i="47"/>
  <c r="G102" i="47" s="1"/>
  <c r="K102" i="47" s="1"/>
  <c r="L86" i="47"/>
  <c r="L85" i="47"/>
  <c r="G49" i="47"/>
  <c r="K34" i="47"/>
  <c r="J34" i="47"/>
  <c r="L48" i="47"/>
  <c r="L47" i="47"/>
  <c r="L42" i="47"/>
  <c r="L37" i="47"/>
  <c r="L35" i="47"/>
  <c r="L39" i="47"/>
  <c r="L45" i="47"/>
  <c r="L36" i="47"/>
  <c r="L40" i="47"/>
  <c r="L46" i="47"/>
  <c r="L41" i="47"/>
  <c r="L43" i="47"/>
  <c r="L44" i="47"/>
  <c r="L38" i="47"/>
  <c r="J93" i="47" l="1"/>
  <c r="J91" i="47"/>
  <c r="C102" i="47"/>
  <c r="E102" i="47" s="1"/>
  <c r="I102" i="47" s="1"/>
  <c r="L102" i="47" s="1"/>
  <c r="C92" i="47"/>
  <c r="E92" i="47" s="1"/>
  <c r="I92" i="47" s="1"/>
  <c r="J94" i="47"/>
  <c r="J99" i="47"/>
  <c r="J92" i="47"/>
  <c r="J98" i="47"/>
  <c r="F99" i="47"/>
  <c r="G99" i="47" s="1"/>
  <c r="K99" i="47" s="1"/>
  <c r="F94" i="47"/>
  <c r="G94" i="47" s="1"/>
  <c r="K94" i="47" s="1"/>
  <c r="C105" i="47"/>
  <c r="J96" i="47"/>
  <c r="J100" i="47"/>
  <c r="J101" i="47"/>
  <c r="J95" i="47"/>
  <c r="J97" i="47"/>
  <c r="B105" i="47"/>
  <c r="A105" i="47" s="1"/>
  <c r="J105" i="47" s="1"/>
  <c r="B104" i="47"/>
  <c r="A104" i="47" s="1"/>
  <c r="J104" i="47" s="1"/>
  <c r="F92" i="47"/>
  <c r="G92" i="47" s="1"/>
  <c r="K92" i="47" s="1"/>
  <c r="J103" i="47"/>
  <c r="D91" i="47"/>
  <c r="E91" i="47" s="1"/>
  <c r="I91" i="47" s="1"/>
  <c r="C98" i="47"/>
  <c r="E98" i="47" s="1"/>
  <c r="I98" i="47" s="1"/>
  <c r="C95" i="47"/>
  <c r="E95" i="47" s="1"/>
  <c r="I95" i="47" s="1"/>
  <c r="C104" i="47"/>
  <c r="C93" i="47"/>
  <c r="E93" i="47" s="1"/>
  <c r="I93" i="47" s="1"/>
  <c r="L93" i="47" s="1"/>
  <c r="C96" i="47"/>
  <c r="E96" i="47" s="1"/>
  <c r="I96" i="47" s="1"/>
  <c r="C100" i="47"/>
  <c r="E100" i="47" s="1"/>
  <c r="I100" i="47" s="1"/>
  <c r="C94" i="47"/>
  <c r="E94" i="47" s="1"/>
  <c r="I94" i="47" s="1"/>
  <c r="C97" i="47"/>
  <c r="E97" i="47" s="1"/>
  <c r="I97" i="47" s="1"/>
  <c r="C103" i="47"/>
  <c r="E103" i="47" s="1"/>
  <c r="I103" i="47" s="1"/>
  <c r="C99" i="47"/>
  <c r="E99" i="47" s="1"/>
  <c r="I99" i="47" s="1"/>
  <c r="B110" i="47"/>
  <c r="B118" i="47" s="1"/>
  <c r="A118" i="47" s="1"/>
  <c r="F118" i="47" s="1"/>
  <c r="G118" i="47" s="1"/>
  <c r="K118" i="47" s="1"/>
  <c r="E101" i="47"/>
  <c r="I101" i="47" s="1"/>
  <c r="L34" i="47"/>
  <c r="L49" i="47" s="1"/>
  <c r="R40" i="47" s="1"/>
  <c r="L98" i="47" l="1"/>
  <c r="L99" i="47"/>
  <c r="L100" i="47"/>
  <c r="L101" i="47"/>
  <c r="L94" i="47"/>
  <c r="F105" i="47"/>
  <c r="G105" i="47" s="1"/>
  <c r="K105" i="47" s="1"/>
  <c r="E105" i="47"/>
  <c r="I105" i="47" s="1"/>
  <c r="L103" i="47"/>
  <c r="L95" i="47"/>
  <c r="L96" i="47"/>
  <c r="L97" i="47"/>
  <c r="B112" i="47"/>
  <c r="A112" i="47" s="1"/>
  <c r="F112" i="47" s="1"/>
  <c r="G112" i="47" s="1"/>
  <c r="K112" i="47" s="1"/>
  <c r="L92" i="47"/>
  <c r="E104" i="47"/>
  <c r="I104" i="47" s="1"/>
  <c r="H111" i="47"/>
  <c r="H114" i="47"/>
  <c r="A110" i="47"/>
  <c r="H120" i="47"/>
  <c r="B116" i="47"/>
  <c r="A116" i="47" s="1"/>
  <c r="H117" i="47"/>
  <c r="H124" i="47"/>
  <c r="H119" i="47"/>
  <c r="B121" i="47"/>
  <c r="A121" i="47" s="1"/>
  <c r="F121" i="47" s="1"/>
  <c r="G121" i="47" s="1"/>
  <c r="K121" i="47" s="1"/>
  <c r="C110" i="47"/>
  <c r="B113" i="47"/>
  <c r="A113" i="47" s="1"/>
  <c r="F113" i="47" s="1"/>
  <c r="G113" i="47" s="1"/>
  <c r="K113" i="47" s="1"/>
  <c r="B115" i="47"/>
  <c r="A115" i="47" s="1"/>
  <c r="F115" i="47" s="1"/>
  <c r="G115" i="47" s="1"/>
  <c r="K115" i="47" s="1"/>
  <c r="F104" i="47"/>
  <c r="G104" i="47" s="1"/>
  <c r="K104" i="47" s="1"/>
  <c r="B111" i="47"/>
  <c r="A111" i="47" s="1"/>
  <c r="H121" i="47"/>
  <c r="B122" i="47"/>
  <c r="A122" i="47" s="1"/>
  <c r="B120" i="47"/>
  <c r="A120" i="47" s="1"/>
  <c r="B117" i="47"/>
  <c r="A117" i="47" s="1"/>
  <c r="H118" i="47"/>
  <c r="J118" i="47" s="1"/>
  <c r="H123" i="47"/>
  <c r="B114" i="47"/>
  <c r="A114" i="47" s="1"/>
  <c r="F114" i="47" s="1"/>
  <c r="G114" i="47" s="1"/>
  <c r="K114" i="47" s="1"/>
  <c r="H122" i="47"/>
  <c r="H113" i="47"/>
  <c r="H116" i="47"/>
  <c r="H110" i="47"/>
  <c r="H112" i="47"/>
  <c r="H115" i="47"/>
  <c r="B119" i="47"/>
  <c r="A119" i="47" s="1"/>
  <c r="F119" i="47" s="1"/>
  <c r="G119" i="47" s="1"/>
  <c r="K119" i="47" s="1"/>
  <c r="F122" i="47"/>
  <c r="G122" i="47" s="1"/>
  <c r="K122" i="47" s="1"/>
  <c r="R42" i="47"/>
  <c r="R41" i="47"/>
  <c r="J116" i="47" l="1"/>
  <c r="L105" i="47"/>
  <c r="B124" i="47"/>
  <c r="A124" i="47" s="1"/>
  <c r="F124" i="47" s="1"/>
  <c r="G124" i="47" s="1"/>
  <c r="K124" i="47" s="1"/>
  <c r="B123" i="47"/>
  <c r="A123" i="47" s="1"/>
  <c r="F123" i="47" s="1"/>
  <c r="G123" i="47" s="1"/>
  <c r="K123" i="47" s="1"/>
  <c r="J122" i="47"/>
  <c r="J117" i="47"/>
  <c r="J120" i="47"/>
  <c r="J115" i="47"/>
  <c r="J112" i="47"/>
  <c r="L104" i="47"/>
  <c r="F117" i="47"/>
  <c r="G117" i="47" s="1"/>
  <c r="K117" i="47" s="1"/>
  <c r="F116" i="47"/>
  <c r="G116" i="47" s="1"/>
  <c r="K116" i="47" s="1"/>
  <c r="F120" i="47"/>
  <c r="G120" i="47" s="1"/>
  <c r="K120" i="47" s="1"/>
  <c r="J119" i="47"/>
  <c r="J121" i="47"/>
  <c r="B129" i="47"/>
  <c r="H139" i="47" s="1"/>
  <c r="J110" i="47"/>
  <c r="J111" i="47"/>
  <c r="F111" i="47"/>
  <c r="G111" i="47" s="1"/>
  <c r="K111" i="47" s="1"/>
  <c r="C124" i="47"/>
  <c r="C122" i="47"/>
  <c r="E122" i="47" s="1"/>
  <c r="I122" i="47" s="1"/>
  <c r="L122" i="47" s="1"/>
  <c r="C118" i="47"/>
  <c r="E118" i="47" s="1"/>
  <c r="I118" i="47" s="1"/>
  <c r="L118" i="47" s="1"/>
  <c r="C123" i="47"/>
  <c r="C113" i="47"/>
  <c r="E113" i="47" s="1"/>
  <c r="I113" i="47" s="1"/>
  <c r="C121" i="47"/>
  <c r="E121" i="47" s="1"/>
  <c r="I121" i="47" s="1"/>
  <c r="C111" i="47"/>
  <c r="E111" i="47" s="1"/>
  <c r="I111" i="47" s="1"/>
  <c r="C119" i="47"/>
  <c r="E119" i="47" s="1"/>
  <c r="I119" i="47" s="1"/>
  <c r="C116" i="47"/>
  <c r="E116" i="47" s="1"/>
  <c r="I116" i="47" s="1"/>
  <c r="C114" i="47"/>
  <c r="E114" i="47" s="1"/>
  <c r="I114" i="47" s="1"/>
  <c r="C117" i="47"/>
  <c r="E117" i="47" s="1"/>
  <c r="I117" i="47" s="1"/>
  <c r="C115" i="47"/>
  <c r="E115" i="47" s="1"/>
  <c r="I115" i="47" s="1"/>
  <c r="C120" i="47"/>
  <c r="E120" i="47" s="1"/>
  <c r="I120" i="47" s="1"/>
  <c r="C112" i="47"/>
  <c r="E112" i="47" s="1"/>
  <c r="I112" i="47" s="1"/>
  <c r="D110" i="47"/>
  <c r="E110" i="47" s="1"/>
  <c r="I110" i="47" s="1"/>
  <c r="J113" i="47"/>
  <c r="J114" i="47"/>
  <c r="R43" i="47"/>
  <c r="R44" i="47" s="1"/>
  <c r="Q48" i="47" s="1"/>
  <c r="F53" i="47" s="1"/>
  <c r="E123" i="47" l="1"/>
  <c r="I123" i="47" s="1"/>
  <c r="L123" i="47" s="1"/>
  <c r="E124" i="47"/>
  <c r="I124" i="47" s="1"/>
  <c r="J123" i="47"/>
  <c r="H134" i="47"/>
  <c r="L112" i="47"/>
  <c r="J124" i="47"/>
  <c r="L115" i="47"/>
  <c r="H141" i="47"/>
  <c r="B141" i="47"/>
  <c r="A141" i="47" s="1"/>
  <c r="B135" i="47"/>
  <c r="A135" i="47" s="1"/>
  <c r="F135" i="47" s="1"/>
  <c r="G135" i="47" s="1"/>
  <c r="K135" i="47" s="1"/>
  <c r="L117" i="47"/>
  <c r="B130" i="47"/>
  <c r="A130" i="47" s="1"/>
  <c r="F130" i="47" s="1"/>
  <c r="G130" i="47" s="1"/>
  <c r="K130" i="47" s="1"/>
  <c r="B132" i="47"/>
  <c r="A132" i="47" s="1"/>
  <c r="F132" i="47" s="1"/>
  <c r="G132" i="47" s="1"/>
  <c r="K132" i="47" s="1"/>
  <c r="B137" i="47"/>
  <c r="A137" i="47" s="1"/>
  <c r="F137" i="47" s="1"/>
  <c r="G137" i="47" s="1"/>
  <c r="K137" i="47" s="1"/>
  <c r="B131" i="47"/>
  <c r="A131" i="47" s="1"/>
  <c r="F131" i="47" s="1"/>
  <c r="G131" i="47" s="1"/>
  <c r="K131" i="47" s="1"/>
  <c r="H129" i="47"/>
  <c r="B139" i="47"/>
  <c r="A139" i="47" s="1"/>
  <c r="J139" i="47" s="1"/>
  <c r="H130" i="47"/>
  <c r="H132" i="47"/>
  <c r="H136" i="47"/>
  <c r="B140" i="47"/>
  <c r="A140" i="47" s="1"/>
  <c r="H140" i="47"/>
  <c r="C129" i="47"/>
  <c r="C135" i="47" s="1"/>
  <c r="H138" i="47"/>
  <c r="H137" i="47"/>
  <c r="B133" i="47"/>
  <c r="A133" i="47" s="1"/>
  <c r="B134" i="47"/>
  <c r="A134" i="47" s="1"/>
  <c r="F134" i="47" s="1"/>
  <c r="G134" i="47" s="1"/>
  <c r="K134" i="47" s="1"/>
  <c r="H135" i="47"/>
  <c r="H131" i="47"/>
  <c r="H133" i="47"/>
  <c r="B138" i="47"/>
  <c r="A138" i="47" s="1"/>
  <c r="H143" i="47"/>
  <c r="H142" i="47"/>
  <c r="A129" i="47"/>
  <c r="B136" i="47"/>
  <c r="A136" i="47" s="1"/>
  <c r="F136" i="47" s="1"/>
  <c r="G136" i="47" s="1"/>
  <c r="K136" i="47" s="1"/>
  <c r="L116" i="47"/>
  <c r="L120" i="47"/>
  <c r="L119" i="47"/>
  <c r="L121" i="47"/>
  <c r="L111" i="47"/>
  <c r="L114" i="47"/>
  <c r="L113" i="47"/>
  <c r="R5" i="47"/>
  <c r="G5" i="47"/>
  <c r="B142" i="47"/>
  <c r="A142" i="47" s="1"/>
  <c r="B143" i="47"/>
  <c r="A143" i="47" s="1"/>
  <c r="G53" i="47"/>
  <c r="L124" i="47" l="1"/>
  <c r="E135" i="47"/>
  <c r="I135" i="47" s="1"/>
  <c r="J137" i="47"/>
  <c r="J141" i="47"/>
  <c r="B148" i="47"/>
  <c r="B158" i="47" s="1"/>
  <c r="A158" i="47" s="1"/>
  <c r="F158" i="47" s="1"/>
  <c r="G158" i="47" s="1"/>
  <c r="K158" i="47" s="1"/>
  <c r="F141" i="47"/>
  <c r="G141" i="47" s="1"/>
  <c r="K141" i="47" s="1"/>
  <c r="J135" i="47"/>
  <c r="J130" i="47"/>
  <c r="J138" i="47"/>
  <c r="J132" i="47"/>
  <c r="J133" i="47"/>
  <c r="J134" i="47"/>
  <c r="J129" i="47"/>
  <c r="J131" i="47"/>
  <c r="J140" i="47"/>
  <c r="C142" i="47"/>
  <c r="E142" i="47" s="1"/>
  <c r="I142" i="47" s="1"/>
  <c r="C139" i="47"/>
  <c r="E139" i="47" s="1"/>
  <c r="I139" i="47" s="1"/>
  <c r="C130" i="47"/>
  <c r="E130" i="47" s="1"/>
  <c r="I130" i="47" s="1"/>
  <c r="C138" i="47"/>
  <c r="E138" i="47" s="1"/>
  <c r="I138" i="47" s="1"/>
  <c r="F140" i="47"/>
  <c r="G140" i="47" s="1"/>
  <c r="K140" i="47" s="1"/>
  <c r="C143" i="47"/>
  <c r="E143" i="47" s="1"/>
  <c r="I143" i="47" s="1"/>
  <c r="F139" i="47"/>
  <c r="G139" i="47" s="1"/>
  <c r="K139" i="47" s="1"/>
  <c r="C136" i="47"/>
  <c r="E136" i="47" s="1"/>
  <c r="I136" i="47" s="1"/>
  <c r="C137" i="47"/>
  <c r="E137" i="47" s="1"/>
  <c r="I137" i="47" s="1"/>
  <c r="C133" i="47"/>
  <c r="E133" i="47" s="1"/>
  <c r="I133" i="47" s="1"/>
  <c r="C132" i="47"/>
  <c r="E132" i="47" s="1"/>
  <c r="I132" i="47" s="1"/>
  <c r="C141" i="47"/>
  <c r="E141" i="47" s="1"/>
  <c r="I141" i="47" s="1"/>
  <c r="C140" i="47"/>
  <c r="E140" i="47" s="1"/>
  <c r="I140" i="47" s="1"/>
  <c r="F133" i="47"/>
  <c r="G133" i="47" s="1"/>
  <c r="K133" i="47" s="1"/>
  <c r="J136" i="47"/>
  <c r="C134" i="47"/>
  <c r="E134" i="47" s="1"/>
  <c r="I134" i="47" s="1"/>
  <c r="D129" i="47"/>
  <c r="E129" i="47" s="1"/>
  <c r="I129" i="47" s="1"/>
  <c r="F138" i="47"/>
  <c r="G138" i="47" s="1"/>
  <c r="K138" i="47" s="1"/>
  <c r="C131" i="47"/>
  <c r="E131" i="47" s="1"/>
  <c r="I131" i="47" s="1"/>
  <c r="B151" i="47"/>
  <c r="A151" i="47" s="1"/>
  <c r="F151" i="47" s="1"/>
  <c r="G151" i="47" s="1"/>
  <c r="K151" i="47" s="1"/>
  <c r="H154" i="47"/>
  <c r="C148" i="47"/>
  <c r="C155" i="47" s="1"/>
  <c r="B149" i="47"/>
  <c r="A149" i="47" s="1"/>
  <c r="F149" i="47" s="1"/>
  <c r="G149" i="47" s="1"/>
  <c r="K149" i="47" s="1"/>
  <c r="H156" i="47"/>
  <c r="B150" i="47"/>
  <c r="A150" i="47" s="1"/>
  <c r="J143" i="47"/>
  <c r="F143" i="47"/>
  <c r="G143" i="47" s="1"/>
  <c r="K143" i="47" s="1"/>
  <c r="J142" i="47"/>
  <c r="F142" i="47"/>
  <c r="G142" i="47" s="1"/>
  <c r="K142" i="47" s="1"/>
  <c r="K53" i="47"/>
  <c r="L53" i="47" s="1"/>
  <c r="L68" i="47" s="1"/>
  <c r="R59" i="47" s="1"/>
  <c r="G68" i="47"/>
  <c r="H150" i="47" l="1"/>
  <c r="B157" i="47"/>
  <c r="A157" i="47" s="1"/>
  <c r="F157" i="47" s="1"/>
  <c r="G157" i="47" s="1"/>
  <c r="K157" i="47" s="1"/>
  <c r="H158" i="47"/>
  <c r="B160" i="47"/>
  <c r="B152" i="47"/>
  <c r="A152" i="47" s="1"/>
  <c r="F152" i="47" s="1"/>
  <c r="G152" i="47" s="1"/>
  <c r="K152" i="47" s="1"/>
  <c r="H151" i="47"/>
  <c r="J158" i="47"/>
  <c r="L137" i="47"/>
  <c r="L135" i="47"/>
  <c r="H153" i="47"/>
  <c r="H152" i="47"/>
  <c r="B155" i="47"/>
  <c r="A155" i="47" s="1"/>
  <c r="F155" i="47" s="1"/>
  <c r="G155" i="47" s="1"/>
  <c r="K155" i="47" s="1"/>
  <c r="B153" i="47"/>
  <c r="A153" i="47" s="1"/>
  <c r="F153" i="47" s="1"/>
  <c r="G153" i="47" s="1"/>
  <c r="K153" i="47" s="1"/>
  <c r="H155" i="47"/>
  <c r="A148" i="47"/>
  <c r="H162" i="47"/>
  <c r="B154" i="47"/>
  <c r="A154" i="47" s="1"/>
  <c r="F154" i="47" s="1"/>
  <c r="G154" i="47" s="1"/>
  <c r="K154" i="47" s="1"/>
  <c r="H161" i="47"/>
  <c r="H157" i="47"/>
  <c r="J157" i="47" s="1"/>
  <c r="L130" i="47"/>
  <c r="B156" i="47"/>
  <c r="A156" i="47" s="1"/>
  <c r="F156" i="47" s="1"/>
  <c r="G156" i="47" s="1"/>
  <c r="K156" i="47" s="1"/>
  <c r="H160" i="47"/>
  <c r="H148" i="47"/>
  <c r="H159" i="47"/>
  <c r="L132" i="47"/>
  <c r="B159" i="47"/>
  <c r="A159" i="47" s="1"/>
  <c r="F159" i="47" s="1"/>
  <c r="G159" i="47" s="1"/>
  <c r="K159" i="47" s="1"/>
  <c r="H149" i="47"/>
  <c r="J149" i="47" s="1"/>
  <c r="L141" i="47"/>
  <c r="L133" i="47"/>
  <c r="L134" i="47"/>
  <c r="L140" i="47"/>
  <c r="L131" i="47"/>
  <c r="J154" i="47"/>
  <c r="L138" i="47"/>
  <c r="L139" i="47"/>
  <c r="C153" i="47"/>
  <c r="J151" i="47"/>
  <c r="L136" i="47"/>
  <c r="C152" i="47"/>
  <c r="E152" i="47" s="1"/>
  <c r="I152" i="47" s="1"/>
  <c r="C159" i="47"/>
  <c r="C150" i="47"/>
  <c r="E150" i="47" s="1"/>
  <c r="I150" i="47" s="1"/>
  <c r="C161" i="47"/>
  <c r="C160" i="47"/>
  <c r="C151" i="47"/>
  <c r="E151" i="47" s="1"/>
  <c r="I151" i="47" s="1"/>
  <c r="C157" i="47"/>
  <c r="E157" i="47" s="1"/>
  <c r="C156" i="47"/>
  <c r="C149" i="47"/>
  <c r="E149" i="47" s="1"/>
  <c r="C158" i="47"/>
  <c r="E158" i="47" s="1"/>
  <c r="I158" i="47" s="1"/>
  <c r="L158" i="47" s="1"/>
  <c r="C162" i="47"/>
  <c r="D148" i="47"/>
  <c r="E148" i="47" s="1"/>
  <c r="C154" i="47"/>
  <c r="J152" i="47"/>
  <c r="A160" i="47"/>
  <c r="B161" i="47"/>
  <c r="A161" i="47" s="1"/>
  <c r="B162" i="47"/>
  <c r="A162" i="47" s="1"/>
  <c r="J150" i="47"/>
  <c r="F150" i="47"/>
  <c r="G150" i="47" s="1"/>
  <c r="K150" i="47" s="1"/>
  <c r="L143" i="47"/>
  <c r="L142" i="47"/>
  <c r="R60" i="47"/>
  <c r="R61" i="47"/>
  <c r="E155" i="47" l="1"/>
  <c r="I155" i="47" s="1"/>
  <c r="L155" i="47" s="1"/>
  <c r="E154" i="47"/>
  <c r="I154" i="47" s="1"/>
  <c r="E153" i="47"/>
  <c r="I153" i="47" s="1"/>
  <c r="J153" i="47"/>
  <c r="J155" i="47"/>
  <c r="I157" i="47"/>
  <c r="L157" i="47" s="1"/>
  <c r="E156" i="47"/>
  <c r="I156" i="47" s="1"/>
  <c r="J156" i="47"/>
  <c r="J148" i="47"/>
  <c r="B167" i="47"/>
  <c r="B176" i="47" s="1"/>
  <c r="A176" i="47" s="1"/>
  <c r="I149" i="47"/>
  <c r="L149" i="47" s="1"/>
  <c r="E159" i="47"/>
  <c r="I159" i="47" s="1"/>
  <c r="J159" i="47"/>
  <c r="I148" i="47"/>
  <c r="L152" i="47"/>
  <c r="E162" i="47"/>
  <c r="I162" i="47" s="1"/>
  <c r="E161" i="47"/>
  <c r="I161" i="47" s="1"/>
  <c r="L154" i="47"/>
  <c r="L151" i="47"/>
  <c r="E160" i="47"/>
  <c r="I160" i="47" s="1"/>
  <c r="L150" i="47"/>
  <c r="J161" i="47"/>
  <c r="F161" i="47"/>
  <c r="G161" i="47" s="1"/>
  <c r="K161" i="47" s="1"/>
  <c r="J160" i="47"/>
  <c r="F160" i="47"/>
  <c r="G160" i="47" s="1"/>
  <c r="K160" i="47" s="1"/>
  <c r="F162" i="47"/>
  <c r="G162" i="47" s="1"/>
  <c r="K162" i="47" s="1"/>
  <c r="J162" i="47"/>
  <c r="R62" i="47"/>
  <c r="R63" i="47" s="1"/>
  <c r="Q67" i="47" s="1"/>
  <c r="F72" i="47" s="1"/>
  <c r="L153" i="47" l="1"/>
  <c r="L156" i="47"/>
  <c r="B169" i="47"/>
  <c r="A169" i="47" s="1"/>
  <c r="H172" i="47"/>
  <c r="L159" i="47"/>
  <c r="H167" i="47"/>
  <c r="B171" i="47"/>
  <c r="A171" i="47" s="1"/>
  <c r="F171" i="47" s="1"/>
  <c r="G171" i="47" s="1"/>
  <c r="K171" i="47" s="1"/>
  <c r="B172" i="47"/>
  <c r="A172" i="47" s="1"/>
  <c r="J172" i="47" s="1"/>
  <c r="B179" i="47"/>
  <c r="B180" i="47" s="1"/>
  <c r="A180" i="47" s="1"/>
  <c r="H169" i="47"/>
  <c r="C167" i="47"/>
  <c r="C171" i="47" s="1"/>
  <c r="E171" i="47" s="1"/>
  <c r="H170" i="47"/>
  <c r="B174" i="47"/>
  <c r="A174" i="47" s="1"/>
  <c r="F174" i="47" s="1"/>
  <c r="G174" i="47" s="1"/>
  <c r="K174" i="47" s="1"/>
  <c r="H173" i="47"/>
  <c r="B168" i="47"/>
  <c r="A168" i="47" s="1"/>
  <c r="F168" i="47" s="1"/>
  <c r="G168" i="47" s="1"/>
  <c r="K168" i="47" s="1"/>
  <c r="B170" i="47"/>
  <c r="A170" i="47" s="1"/>
  <c r="J170" i="47" s="1"/>
  <c r="H178" i="47"/>
  <c r="H175" i="47"/>
  <c r="H176" i="47"/>
  <c r="J176" i="47" s="1"/>
  <c r="B175" i="47"/>
  <c r="A175" i="47" s="1"/>
  <c r="F175" i="47" s="1"/>
  <c r="G175" i="47" s="1"/>
  <c r="K175" i="47" s="1"/>
  <c r="H179" i="47"/>
  <c r="H168" i="47"/>
  <c r="B173" i="47"/>
  <c r="A173" i="47" s="1"/>
  <c r="F173" i="47" s="1"/>
  <c r="G173" i="47" s="1"/>
  <c r="K173" i="47" s="1"/>
  <c r="H180" i="47"/>
  <c r="H177" i="47"/>
  <c r="B177" i="47"/>
  <c r="A177" i="47" s="1"/>
  <c r="F177" i="47" s="1"/>
  <c r="G177" i="47" s="1"/>
  <c r="K177" i="47" s="1"/>
  <c r="H171" i="47"/>
  <c r="J171" i="47" s="1"/>
  <c r="H174" i="47"/>
  <c r="B178" i="47"/>
  <c r="A178" i="47" s="1"/>
  <c r="F178" i="47" s="1"/>
  <c r="G178" i="47" s="1"/>
  <c r="K178" i="47" s="1"/>
  <c r="A167" i="47"/>
  <c r="J167" i="47" s="1"/>
  <c r="H181" i="47"/>
  <c r="F169" i="47"/>
  <c r="G169" i="47" s="1"/>
  <c r="K169" i="47" s="1"/>
  <c r="C170" i="47"/>
  <c r="C178" i="47"/>
  <c r="D167" i="47"/>
  <c r="F176" i="47"/>
  <c r="G176" i="47" s="1"/>
  <c r="K176" i="47" s="1"/>
  <c r="L160" i="47"/>
  <c r="L161" i="47"/>
  <c r="L162" i="47"/>
  <c r="G72" i="47"/>
  <c r="J175" i="47" l="1"/>
  <c r="F172" i="47"/>
  <c r="G172" i="47" s="1"/>
  <c r="K172" i="47" s="1"/>
  <c r="C180" i="47"/>
  <c r="C179" i="47"/>
  <c r="E178" i="47"/>
  <c r="I178" i="47" s="1"/>
  <c r="B181" i="47"/>
  <c r="A181" i="47" s="1"/>
  <c r="A179" i="47"/>
  <c r="J178" i="47"/>
  <c r="J169" i="47"/>
  <c r="C181" i="47"/>
  <c r="J168" i="47"/>
  <c r="J173" i="47"/>
  <c r="B186" i="47"/>
  <c r="E167" i="47"/>
  <c r="I167" i="47" s="1"/>
  <c r="J177" i="47"/>
  <c r="F170" i="47"/>
  <c r="G170" i="47" s="1"/>
  <c r="K170" i="47" s="1"/>
  <c r="E170" i="47"/>
  <c r="I170" i="47" s="1"/>
  <c r="C174" i="47"/>
  <c r="E174" i="47" s="1"/>
  <c r="I174" i="47" s="1"/>
  <c r="C169" i="47"/>
  <c r="E169" i="47" s="1"/>
  <c r="I169" i="47" s="1"/>
  <c r="L169" i="47" s="1"/>
  <c r="C168" i="47"/>
  <c r="E168" i="47" s="1"/>
  <c r="I168" i="47" s="1"/>
  <c r="L168" i="47" s="1"/>
  <c r="J174" i="47"/>
  <c r="C172" i="47"/>
  <c r="E172" i="47" s="1"/>
  <c r="I172" i="47" s="1"/>
  <c r="C175" i="47"/>
  <c r="E175" i="47" s="1"/>
  <c r="I175" i="47" s="1"/>
  <c r="L175" i="47" s="1"/>
  <c r="C177" i="47"/>
  <c r="E177" i="47" s="1"/>
  <c r="I177" i="47" s="1"/>
  <c r="L177" i="47" s="1"/>
  <c r="C173" i="47"/>
  <c r="E173" i="47" s="1"/>
  <c r="I173" i="47" s="1"/>
  <c r="C176" i="47"/>
  <c r="E176" i="47" s="1"/>
  <c r="I176" i="47" s="1"/>
  <c r="L176" i="47" s="1"/>
  <c r="I171" i="47"/>
  <c r="L171" i="47" s="1"/>
  <c r="E180" i="47"/>
  <c r="I180" i="47" s="1"/>
  <c r="J179" i="47"/>
  <c r="F179" i="47"/>
  <c r="G179" i="47" s="1"/>
  <c r="K179" i="47" s="1"/>
  <c r="H187" i="47"/>
  <c r="B189" i="47"/>
  <c r="A189" i="47" s="1"/>
  <c r="B192" i="47"/>
  <c r="A192" i="47" s="1"/>
  <c r="H190" i="47"/>
  <c r="B188" i="47"/>
  <c r="A188" i="47" s="1"/>
  <c r="B195" i="47"/>
  <c r="A195" i="47" s="1"/>
  <c r="H186" i="47"/>
  <c r="H197" i="47"/>
  <c r="B191" i="47"/>
  <c r="A191" i="47" s="1"/>
  <c r="H193" i="47"/>
  <c r="B193" i="47"/>
  <c r="A193" i="47" s="1"/>
  <c r="B194" i="47"/>
  <c r="A194" i="47" s="1"/>
  <c r="H194" i="47"/>
  <c r="B198" i="47"/>
  <c r="H195" i="47"/>
  <c r="H198" i="47"/>
  <c r="H192" i="47"/>
  <c r="B197" i="47"/>
  <c r="A197" i="47" s="1"/>
  <c r="H199" i="47"/>
  <c r="H189" i="47"/>
  <c r="H191" i="47"/>
  <c r="B196" i="47"/>
  <c r="A196" i="47" s="1"/>
  <c r="C186" i="47"/>
  <c r="H188" i="47"/>
  <c r="H196" i="47"/>
  <c r="B187" i="47"/>
  <c r="A187" i="47" s="1"/>
  <c r="A186" i="47"/>
  <c r="H200" i="47"/>
  <c r="B190" i="47"/>
  <c r="A190" i="47" s="1"/>
  <c r="J180" i="47"/>
  <c r="F180" i="47"/>
  <c r="G180" i="47" s="1"/>
  <c r="K180" i="47" s="1"/>
  <c r="L172" i="47"/>
  <c r="E181" i="47"/>
  <c r="I181" i="47" s="1"/>
  <c r="J181" i="47"/>
  <c r="F181" i="47"/>
  <c r="G181" i="47" s="1"/>
  <c r="K181" i="47" s="1"/>
  <c r="G87" i="47"/>
  <c r="K72" i="47"/>
  <c r="L72" i="47" s="1"/>
  <c r="L87" i="47" s="1"/>
  <c r="R78" i="47" s="1"/>
  <c r="E179" i="47" l="1"/>
  <c r="I179" i="47" s="1"/>
  <c r="L178" i="47"/>
  <c r="L173" i="47"/>
  <c r="L170" i="47"/>
  <c r="L174" i="47"/>
  <c r="L181" i="47"/>
  <c r="L180" i="47"/>
  <c r="F190" i="47"/>
  <c r="G190" i="47" s="1"/>
  <c r="K190" i="47" s="1"/>
  <c r="J190" i="47"/>
  <c r="J194" i="47"/>
  <c r="F194" i="47"/>
  <c r="G194" i="47" s="1"/>
  <c r="K194" i="47" s="1"/>
  <c r="F193" i="47"/>
  <c r="G193" i="47" s="1"/>
  <c r="K193" i="47" s="1"/>
  <c r="J193" i="47"/>
  <c r="J186" i="47"/>
  <c r="F192" i="47"/>
  <c r="G192" i="47" s="1"/>
  <c r="K192" i="47" s="1"/>
  <c r="J192" i="47"/>
  <c r="L179" i="47"/>
  <c r="F191" i="47"/>
  <c r="G191" i="47" s="1"/>
  <c r="K191" i="47" s="1"/>
  <c r="J191" i="47"/>
  <c r="F188" i="47"/>
  <c r="G188" i="47" s="1"/>
  <c r="K188" i="47" s="1"/>
  <c r="J188" i="47"/>
  <c r="C195" i="47"/>
  <c r="E195" i="47" s="1"/>
  <c r="I195" i="47" s="1"/>
  <c r="C191" i="47"/>
  <c r="E191" i="47" s="1"/>
  <c r="I191" i="47" s="1"/>
  <c r="C188" i="47"/>
  <c r="E188" i="47" s="1"/>
  <c r="I188" i="47" s="1"/>
  <c r="C189" i="47"/>
  <c r="E189" i="47" s="1"/>
  <c r="I189" i="47" s="1"/>
  <c r="C197" i="47"/>
  <c r="E197" i="47" s="1"/>
  <c r="I197" i="47" s="1"/>
  <c r="C193" i="47"/>
  <c r="E193" i="47" s="1"/>
  <c r="I193" i="47" s="1"/>
  <c r="C190" i="47"/>
  <c r="E190" i="47" s="1"/>
  <c r="I190" i="47" s="1"/>
  <c r="C192" i="47"/>
  <c r="E192" i="47" s="1"/>
  <c r="I192" i="47" s="1"/>
  <c r="C198" i="47"/>
  <c r="D186" i="47"/>
  <c r="E186" i="47" s="1"/>
  <c r="I186" i="47" s="1"/>
  <c r="C187" i="47"/>
  <c r="E187" i="47" s="1"/>
  <c r="I187" i="47" s="1"/>
  <c r="C200" i="47"/>
  <c r="C194" i="47"/>
  <c r="E194" i="47" s="1"/>
  <c r="I194" i="47" s="1"/>
  <c r="C196" i="47"/>
  <c r="E196" i="47" s="1"/>
  <c r="I196" i="47" s="1"/>
  <c r="C199" i="47"/>
  <c r="J187" i="47"/>
  <c r="F187" i="47"/>
  <c r="G187" i="47" s="1"/>
  <c r="K187" i="47" s="1"/>
  <c r="F196" i="47"/>
  <c r="G196" i="47" s="1"/>
  <c r="K196" i="47" s="1"/>
  <c r="J196" i="47"/>
  <c r="J197" i="47"/>
  <c r="F197" i="47"/>
  <c r="G197" i="47" s="1"/>
  <c r="K197" i="47" s="1"/>
  <c r="A198" i="47"/>
  <c r="B199" i="47"/>
  <c r="A199" i="47" s="1"/>
  <c r="B200" i="47"/>
  <c r="A200" i="47" s="1"/>
  <c r="F195" i="47"/>
  <c r="G195" i="47" s="1"/>
  <c r="K195" i="47" s="1"/>
  <c r="J195" i="47"/>
  <c r="F189" i="47"/>
  <c r="G189" i="47" s="1"/>
  <c r="K189" i="47" s="1"/>
  <c r="J189" i="47"/>
  <c r="R80" i="47"/>
  <c r="R79" i="47"/>
  <c r="L197" i="47" l="1"/>
  <c r="L188" i="47"/>
  <c r="L187" i="47"/>
  <c r="E198" i="47"/>
  <c r="I198" i="47" s="1"/>
  <c r="L191" i="47"/>
  <c r="L192" i="47"/>
  <c r="L194" i="47"/>
  <c r="F200" i="47"/>
  <c r="G200" i="47" s="1"/>
  <c r="K200" i="47" s="1"/>
  <c r="J200" i="47"/>
  <c r="E200" i="47"/>
  <c r="L189" i="47"/>
  <c r="L193" i="47"/>
  <c r="J199" i="47"/>
  <c r="F199" i="47"/>
  <c r="G199" i="47" s="1"/>
  <c r="K199" i="47" s="1"/>
  <c r="E199" i="47"/>
  <c r="I199" i="47" s="1"/>
  <c r="L195" i="47"/>
  <c r="F198" i="47"/>
  <c r="G198" i="47" s="1"/>
  <c r="K198" i="47" s="1"/>
  <c r="J198" i="47"/>
  <c r="L196" i="47"/>
  <c r="L190" i="47"/>
  <c r="R81" i="47"/>
  <c r="R82" i="47" s="1"/>
  <c r="Q86" i="47" s="1"/>
  <c r="F91" i="47" s="1"/>
  <c r="G91" i="47" s="1"/>
  <c r="G106" i="47" s="1"/>
  <c r="L199" i="47" l="1"/>
  <c r="L198" i="47"/>
  <c r="I200" i="47"/>
  <c r="L200" i="47" s="1"/>
  <c r="G9" i="47"/>
  <c r="R9" i="47"/>
  <c r="K91" i="47"/>
  <c r="L91" i="47" s="1"/>
  <c r="L106" i="47" s="1"/>
  <c r="R97" i="47" s="1"/>
  <c r="R99" i="47" s="1"/>
  <c r="R98" i="47" l="1"/>
  <c r="R100" i="47" s="1"/>
  <c r="R101" i="47" s="1"/>
  <c r="Q105" i="47" s="1"/>
  <c r="F110" i="47" s="1"/>
  <c r="G110" i="47" s="1"/>
  <c r="P6" i="47" l="1"/>
  <c r="K110" i="47"/>
  <c r="L110" i="47" s="1"/>
  <c r="L125" i="47" s="1"/>
  <c r="R116" i="47" s="1"/>
  <c r="R117" i="47" s="1"/>
  <c r="G125" i="47"/>
  <c r="S6" i="47"/>
  <c r="R118" i="47" l="1"/>
  <c r="R119" i="47" s="1"/>
  <c r="R120" i="47" s="1"/>
  <c r="Q124" i="47" s="1"/>
  <c r="F129" i="47" s="1"/>
  <c r="G129" i="47" s="1"/>
  <c r="K129" i="47" l="1"/>
  <c r="L129" i="47" s="1"/>
  <c r="L144" i="47" s="1"/>
  <c r="R135" i="47" s="1"/>
  <c r="G144" i="47"/>
  <c r="R137" i="47" l="1"/>
  <c r="R136" i="47"/>
  <c r="R138" i="47" l="1"/>
  <c r="R139" i="47" s="1"/>
  <c r="Q143" i="47" s="1"/>
  <c r="F148" i="47" s="1"/>
  <c r="G148" i="47" s="1"/>
  <c r="K148" i="47" s="1"/>
  <c r="L148" i="47" s="1"/>
  <c r="L163" i="47" s="1"/>
  <c r="R154" i="47" s="1"/>
  <c r="G163" i="47" l="1"/>
  <c r="R155" i="47"/>
  <c r="R156" i="47"/>
  <c r="R157" i="47" l="1"/>
  <c r="R158" i="47" s="1"/>
  <c r="Q162" i="47" s="1"/>
  <c r="F167" i="47" s="1"/>
  <c r="G167" i="47" s="1"/>
  <c r="K167" i="47" l="1"/>
  <c r="L167" i="47" s="1"/>
  <c r="L182" i="47" s="1"/>
  <c r="R173" i="47" s="1"/>
  <c r="G182" i="47"/>
  <c r="R174" i="47" l="1"/>
  <c r="R175" i="47"/>
  <c r="R176" i="47" l="1"/>
  <c r="R177" i="47" s="1"/>
  <c r="Q181" i="47" s="1"/>
  <c r="F186" i="47" s="1"/>
  <c r="G186" i="47" s="1"/>
  <c r="K186" i="47" l="1"/>
  <c r="L186" i="47" s="1"/>
  <c r="L201" i="47" s="1"/>
  <c r="R192" i="47" s="1"/>
  <c r="G201" i="47"/>
  <c r="R194" i="47" l="1"/>
  <c r="R193" i="47"/>
  <c r="R195" i="47" l="1"/>
  <c r="R196" i="47" s="1"/>
  <c r="Q200" i="47" s="1"/>
  <c r="S10" i="47" s="1"/>
  <c r="P10" i="47" l="1"/>
</calcChain>
</file>

<file path=xl/sharedStrings.xml><?xml version="1.0" encoding="utf-8"?>
<sst xmlns="http://schemas.openxmlformats.org/spreadsheetml/2006/main" count="1878" uniqueCount="92">
  <si>
    <t>臨時</t>
    <rPh sb="0" eb="2">
      <t>リンジ</t>
    </rPh>
    <phoneticPr fontId="2"/>
  </si>
  <si>
    <t>入払日</t>
    <rPh sb="0" eb="1">
      <t>イ</t>
    </rPh>
    <rPh sb="1" eb="2">
      <t>ハラ</t>
    </rPh>
    <rPh sb="2" eb="3">
      <t>ヒ</t>
    </rPh>
    <phoneticPr fontId="2"/>
  </si>
  <si>
    <t>入払区分</t>
    <rPh sb="0" eb="1">
      <t>イ</t>
    </rPh>
    <rPh sb="1" eb="2">
      <t>ハラ</t>
    </rPh>
    <rPh sb="2" eb="4">
      <t>クブン</t>
    </rPh>
    <phoneticPr fontId="2"/>
  </si>
  <si>
    <t>入払額</t>
    <rPh sb="0" eb="1">
      <t>イ</t>
    </rPh>
    <rPh sb="1" eb="2">
      <t>ハラ</t>
    </rPh>
    <rPh sb="2" eb="3">
      <t>ガク</t>
    </rPh>
    <phoneticPr fontId="2"/>
  </si>
  <si>
    <t>定例</t>
  </si>
  <si>
    <t>期初残高</t>
    <rPh sb="0" eb="1">
      <t>キ</t>
    </rPh>
    <rPh sb="1" eb="2">
      <t>ハツ</t>
    </rPh>
    <rPh sb="2" eb="4">
      <t>ザンダカ</t>
    </rPh>
    <phoneticPr fontId="2"/>
  </si>
  <si>
    <t>付利開始日</t>
    <rPh sb="0" eb="2">
      <t>フリ</t>
    </rPh>
    <rPh sb="2" eb="4">
      <t>カイシ</t>
    </rPh>
    <rPh sb="4" eb="5">
      <t>ビ</t>
    </rPh>
    <phoneticPr fontId="2"/>
  </si>
  <si>
    <t>付利終了日</t>
    <rPh sb="0" eb="2">
      <t>フリ</t>
    </rPh>
    <rPh sb="2" eb="5">
      <t>シュウリョウビ</t>
    </rPh>
    <phoneticPr fontId="2"/>
  </si>
  <si>
    <t>付利日数</t>
    <rPh sb="0" eb="2">
      <t>フリ</t>
    </rPh>
    <rPh sb="2" eb="4">
      <t>ニッスウ</t>
    </rPh>
    <phoneticPr fontId="2"/>
  </si>
  <si>
    <t>年間日数</t>
    <rPh sb="0" eb="2">
      <t>ネンカン</t>
    </rPh>
    <rPh sb="2" eb="4">
      <t>ニッスウ</t>
    </rPh>
    <phoneticPr fontId="2"/>
  </si>
  <si>
    <t>付利対象額</t>
    <rPh sb="0" eb="2">
      <t>フリ</t>
    </rPh>
    <rPh sb="2" eb="4">
      <t>タイショウ</t>
    </rPh>
    <rPh sb="4" eb="5">
      <t>ガク</t>
    </rPh>
    <phoneticPr fontId="2"/>
  </si>
  <si>
    <t>税込利息</t>
    <rPh sb="0" eb="2">
      <t>ゼイコ</t>
    </rPh>
    <rPh sb="2" eb="4">
      <t>リソク</t>
    </rPh>
    <phoneticPr fontId="2"/>
  </si>
  <si>
    <t>国税</t>
    <rPh sb="0" eb="2">
      <t>コクゼイ</t>
    </rPh>
    <phoneticPr fontId="2"/>
  </si>
  <si>
    <t>地方税</t>
    <rPh sb="0" eb="3">
      <t>チホウゼイ</t>
    </rPh>
    <phoneticPr fontId="2"/>
  </si>
  <si>
    <t>手取利息</t>
    <rPh sb="0" eb="2">
      <t>テド</t>
    </rPh>
    <rPh sb="2" eb="4">
      <t>リソク</t>
    </rPh>
    <phoneticPr fontId="2"/>
  </si>
  <si>
    <t>計算値</t>
    <rPh sb="0" eb="2">
      <t>ケイサン</t>
    </rPh>
    <rPh sb="2" eb="3">
      <t>アタイ</t>
    </rPh>
    <phoneticPr fontId="2"/>
  </si>
  <si>
    <t>復興特別所得税</t>
    <rPh sb="0" eb="2">
      <t>フッコウ</t>
    </rPh>
    <rPh sb="2" eb="4">
      <t>トクベツ</t>
    </rPh>
    <rPh sb="4" eb="7">
      <t>ショトクゼイ</t>
    </rPh>
    <phoneticPr fontId="2"/>
  </si>
  <si>
    <t>所属所</t>
    <rPh sb="0" eb="2">
      <t>ショゾク</t>
    </rPh>
    <rPh sb="2" eb="3">
      <t>ショ</t>
    </rPh>
    <phoneticPr fontId="2"/>
  </si>
  <si>
    <t>氏　名</t>
    <rPh sb="0" eb="1">
      <t>シ</t>
    </rPh>
    <rPh sb="2" eb="3">
      <t>メイ</t>
    </rPh>
    <phoneticPr fontId="2"/>
  </si>
  <si>
    <t>コード</t>
    <phoneticPr fontId="2"/>
  </si>
  <si>
    <t>証番号</t>
    <rPh sb="0" eb="1">
      <t>ショウ</t>
    </rPh>
    <rPh sb="1" eb="3">
      <t>バンゴウ</t>
    </rPh>
    <phoneticPr fontId="2"/>
  </si>
  <si>
    <t>むつ市</t>
    <rPh sb="2" eb="3">
      <t>シ</t>
    </rPh>
    <phoneticPr fontId="2"/>
  </si>
  <si>
    <t>西谷　康一</t>
    <rPh sb="0" eb="2">
      <t>ニシヤ</t>
    </rPh>
    <rPh sb="3" eb="5">
      <t>コウイチ</t>
    </rPh>
    <phoneticPr fontId="2"/>
  </si>
  <si>
    <t>利息組入後残高</t>
    <rPh sb="0" eb="2">
      <t>リソク</t>
    </rPh>
    <rPh sb="2" eb="4">
      <t>クミイ</t>
    </rPh>
    <rPh sb="4" eb="5">
      <t>ゴ</t>
    </rPh>
    <rPh sb="5" eb="7">
      <t>ザンダカ</t>
    </rPh>
    <phoneticPr fontId="2"/>
  </si>
  <si>
    <t>円</t>
    <rPh sb="0" eb="1">
      <t>エン</t>
    </rPh>
    <phoneticPr fontId="2"/>
  </si>
  <si>
    <t>（平成28年3月30日退職）</t>
    <rPh sb="1" eb="3">
      <t>ヘイセイ</t>
    </rPh>
    <rPh sb="5" eb="6">
      <t>ネン</t>
    </rPh>
    <rPh sb="7" eb="8">
      <t>ガツ</t>
    </rPh>
    <rPh sb="10" eb="11">
      <t>ニチ</t>
    </rPh>
    <rPh sb="11" eb="13">
      <t>タイショク</t>
    </rPh>
    <phoneticPr fontId="2"/>
  </si>
  <si>
    <t>利息組入後送金額</t>
    <rPh sb="0" eb="2">
      <t>リソク</t>
    </rPh>
    <rPh sb="2" eb="4">
      <t>クミイ</t>
    </rPh>
    <rPh sb="4" eb="5">
      <t>ゴ</t>
    </rPh>
    <rPh sb="5" eb="8">
      <t>ソウキンガク</t>
    </rPh>
    <phoneticPr fontId="2"/>
  </si>
  <si>
    <t>積立貯金送金明細表</t>
    <rPh sb="0" eb="2">
      <t>ツミタテ</t>
    </rPh>
    <rPh sb="2" eb="4">
      <t>チョキン</t>
    </rPh>
    <rPh sb="4" eb="6">
      <t>ソウキン</t>
    </rPh>
    <rPh sb="6" eb="9">
      <t>メイサイヒョウ</t>
    </rPh>
    <phoneticPr fontId="2"/>
  </si>
  <si>
    <t>Ｈ28年度</t>
    <rPh sb="3" eb="4">
      <t>ネン</t>
    </rPh>
    <rPh sb="4" eb="5">
      <t>ド</t>
    </rPh>
    <phoneticPr fontId="2"/>
  </si>
  <si>
    <t>Ｈ29年度</t>
    <rPh sb="3" eb="4">
      <t>ネン</t>
    </rPh>
    <rPh sb="4" eb="5">
      <t>ド</t>
    </rPh>
    <phoneticPr fontId="2"/>
  </si>
  <si>
    <t>Ｈ30年度</t>
    <rPh sb="3" eb="4">
      <t>ネン</t>
    </rPh>
    <rPh sb="4" eb="5">
      <t>ド</t>
    </rPh>
    <phoneticPr fontId="2"/>
  </si>
  <si>
    <t>Ｈ31年度</t>
    <rPh sb="3" eb="5">
      <t>ネンド</t>
    </rPh>
    <phoneticPr fontId="2"/>
  </si>
  <si>
    <t>2020(平成３２年）は2/29有</t>
    <rPh sb="5" eb="7">
      <t>ヘイセイ</t>
    </rPh>
    <rPh sb="9" eb="10">
      <t>ネン</t>
    </rPh>
    <rPh sb="16" eb="17">
      <t>アリ</t>
    </rPh>
    <phoneticPr fontId="2"/>
  </si>
  <si>
    <t>Ｈ32年度</t>
    <rPh sb="3" eb="5">
      <t>ネンド</t>
    </rPh>
    <phoneticPr fontId="2"/>
  </si>
  <si>
    <t>Ｈ33年度</t>
    <rPh sb="3" eb="5">
      <t>ネンド</t>
    </rPh>
    <phoneticPr fontId="2"/>
  </si>
  <si>
    <t>Ｈ34年度</t>
    <rPh sb="3" eb="5">
      <t>ネンド</t>
    </rPh>
    <phoneticPr fontId="2"/>
  </si>
  <si>
    <t>特別復興税は平成２５年１月から２０年を予定</t>
    <rPh sb="0" eb="2">
      <t>トクベツ</t>
    </rPh>
    <rPh sb="2" eb="4">
      <t>フッコウ</t>
    </rPh>
    <rPh sb="4" eb="5">
      <t>ゼイ</t>
    </rPh>
    <rPh sb="6" eb="8">
      <t>ヘイセイ</t>
    </rPh>
    <rPh sb="10" eb="11">
      <t>ネン</t>
    </rPh>
    <rPh sb="12" eb="13">
      <t>ガツ</t>
    </rPh>
    <rPh sb="17" eb="18">
      <t>ネン</t>
    </rPh>
    <rPh sb="19" eb="21">
      <t>ヨテイ</t>
    </rPh>
    <phoneticPr fontId="2"/>
  </si>
  <si>
    <t>払戻</t>
    <rPh sb="0" eb="2">
      <t>ハライモドシ</t>
    </rPh>
    <phoneticPr fontId="2"/>
  </si>
  <si>
    <t>手当</t>
    <rPh sb="0" eb="2">
      <t>テアテ</t>
    </rPh>
    <phoneticPr fontId="2"/>
  </si>
  <si>
    <t>特別復興税は平成２５年１月から２０年を予定（2013-2033）</t>
    <rPh sb="0" eb="2">
      <t>トクベツ</t>
    </rPh>
    <rPh sb="2" eb="4">
      <t>フッコウ</t>
    </rPh>
    <rPh sb="4" eb="5">
      <t>ゼイ</t>
    </rPh>
    <rPh sb="6" eb="8">
      <t>ヘイセイ</t>
    </rPh>
    <rPh sb="10" eb="11">
      <t>ネン</t>
    </rPh>
    <rPh sb="12" eb="13">
      <t>ガツ</t>
    </rPh>
    <rPh sb="17" eb="18">
      <t>ネン</t>
    </rPh>
    <rPh sb="19" eb="21">
      <t>ヨテイ</t>
    </rPh>
    <phoneticPr fontId="2"/>
  </si>
  <si>
    <t>実績</t>
    <rPh sb="0" eb="2">
      <t>ジッセキ</t>
    </rPh>
    <phoneticPr fontId="2"/>
  </si>
  <si>
    <t>４月</t>
    <rPh sb="1" eb="2">
      <t>ガツ</t>
    </rPh>
    <phoneticPr fontId="2"/>
  </si>
  <si>
    <t>１～３月利息</t>
    <rPh sb="3" eb="4">
      <t>ガツ</t>
    </rPh>
    <rPh sb="4" eb="6">
      <t>リソク</t>
    </rPh>
    <phoneticPr fontId="2"/>
  </si>
  <si>
    <t>青森地域広域事務組合</t>
    <rPh sb="0" eb="2">
      <t>アオモリ</t>
    </rPh>
    <rPh sb="2" eb="4">
      <t>チイキ</t>
    </rPh>
    <rPh sb="4" eb="6">
      <t>コウイキ</t>
    </rPh>
    <rPh sb="6" eb="8">
      <t>ジム</t>
    </rPh>
    <rPh sb="8" eb="10">
      <t>クミアイ</t>
    </rPh>
    <phoneticPr fontId="2"/>
  </si>
  <si>
    <t>中川義廣</t>
    <rPh sb="0" eb="2">
      <t>ナカガワ</t>
    </rPh>
    <rPh sb="2" eb="4">
      <t>ヨシヒロ</t>
    </rPh>
    <phoneticPr fontId="2"/>
  </si>
  <si>
    <t>(平成30年3月27日退職）</t>
    <rPh sb="1" eb="3">
      <t>ヘイセイ</t>
    </rPh>
    <rPh sb="5" eb="6">
      <t>ネン</t>
    </rPh>
    <rPh sb="7" eb="8">
      <t>ガツ</t>
    </rPh>
    <rPh sb="10" eb="11">
      <t>ニチ</t>
    </rPh>
    <rPh sb="11" eb="13">
      <t>タイショク</t>
    </rPh>
    <phoneticPr fontId="2"/>
  </si>
  <si>
    <t>一部払戻</t>
    <rPh sb="0" eb="2">
      <t>イチブ</t>
    </rPh>
    <rPh sb="2" eb="4">
      <t>ハライモドシ</t>
    </rPh>
    <phoneticPr fontId="2"/>
  </si>
  <si>
    <t>任意継続組合員</t>
    <rPh sb="0" eb="2">
      <t>ニンイ</t>
    </rPh>
    <rPh sb="2" eb="4">
      <t>ケイゾク</t>
    </rPh>
    <rPh sb="4" eb="7">
      <t>クミアイイン</t>
    </rPh>
    <phoneticPr fontId="2"/>
  </si>
  <si>
    <t>品田好子</t>
    <rPh sb="0" eb="2">
      <t>シナダ</t>
    </rPh>
    <rPh sb="2" eb="4">
      <t>ヨシコ</t>
    </rPh>
    <phoneticPr fontId="2"/>
  </si>
  <si>
    <t>(平成29年4月1日任継）</t>
    <rPh sb="1" eb="3">
      <t>ヘイセイ</t>
    </rPh>
    <rPh sb="5" eb="6">
      <t>ネン</t>
    </rPh>
    <rPh sb="7" eb="8">
      <t>ガツ</t>
    </rPh>
    <rPh sb="9" eb="10">
      <t>ニチ</t>
    </rPh>
    <rPh sb="10" eb="12">
      <t>ニンケイ</t>
    </rPh>
    <phoneticPr fontId="2"/>
  </si>
  <si>
    <t>利率</t>
    <rPh sb="0" eb="2">
      <t>リリツ</t>
    </rPh>
    <phoneticPr fontId="2"/>
  </si>
  <si>
    <t>区分</t>
    <rPh sb="0" eb="2">
      <t>クブン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</si>
  <si>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</si>
  <si>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</si>
  <si>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</si>
  <si>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付利額</t>
    <rPh sb="0" eb="3">
      <t>フリガク</t>
    </rPh>
    <phoneticPr fontId="2"/>
  </si>
  <si>
    <t>入払日</t>
    <rPh sb="0" eb="1">
      <t>イリ</t>
    </rPh>
    <rPh sb="1" eb="2">
      <t>ハラ</t>
    </rPh>
    <rPh sb="2" eb="3">
      <t>ビ</t>
    </rPh>
    <phoneticPr fontId="2"/>
  </si>
  <si>
    <t>国税＋復興特別所得税</t>
    <rPh sb="0" eb="2">
      <t>コクゼイ</t>
    </rPh>
    <phoneticPr fontId="2"/>
  </si>
  <si>
    <t>税引後利息</t>
    <rPh sb="0" eb="3">
      <t>ゼイビキゴ</t>
    </rPh>
    <rPh sb="3" eb="5">
      <t>リソク</t>
    </rPh>
    <phoneticPr fontId="2"/>
  </si>
  <si>
    <t>期初残高</t>
    <rPh sb="0" eb="2">
      <t>キショ</t>
    </rPh>
    <rPh sb="2" eb="4">
      <t>ザンダカ</t>
    </rPh>
    <phoneticPr fontId="2"/>
  </si>
  <si>
    <t>定例積立</t>
    <rPh sb="0" eb="4">
      <t>テイレイツミタテ</t>
    </rPh>
    <phoneticPr fontId="2"/>
  </si>
  <si>
    <t>手当積立</t>
    <rPh sb="0" eb="2">
      <t>テアテ</t>
    </rPh>
    <rPh sb="2" eb="4">
      <t>ツミタテ</t>
    </rPh>
    <phoneticPr fontId="2"/>
  </si>
  <si>
    <t>臨時積立</t>
    <rPh sb="0" eb="2">
      <t>リンジ</t>
    </rPh>
    <rPh sb="2" eb="4">
      <t>ツミタテ</t>
    </rPh>
    <phoneticPr fontId="2"/>
  </si>
  <si>
    <t>払戻し</t>
    <rPh sb="0" eb="2">
      <t>ハライモド</t>
    </rPh>
    <phoneticPr fontId="2"/>
  </si>
  <si>
    <t>解約</t>
    <rPh sb="0" eb="2">
      <t>カイヤク</t>
    </rPh>
    <phoneticPr fontId="2"/>
  </si>
  <si>
    <t>基準日</t>
    <rPh sb="0" eb="3">
      <t>キジュンビ</t>
    </rPh>
    <phoneticPr fontId="2"/>
  </si>
  <si>
    <t>区　分</t>
    <rPh sb="0" eb="1">
      <t>ク</t>
    </rPh>
    <rPh sb="2" eb="3">
      <t>ブン</t>
    </rPh>
    <phoneticPr fontId="2"/>
  </si>
  <si>
    <t>●１年目</t>
    <rPh sb="2" eb="4">
      <t>ネンメ</t>
    </rPh>
    <phoneticPr fontId="2"/>
  </si>
  <si>
    <t>●２年目</t>
    <rPh sb="2" eb="4">
      <t>ネンメ</t>
    </rPh>
    <phoneticPr fontId="2"/>
  </si>
  <si>
    <t>●３年目</t>
    <rPh sb="2" eb="4">
      <t>ネンメ</t>
    </rPh>
    <phoneticPr fontId="2"/>
  </si>
  <si>
    <t>●４年目</t>
    <rPh sb="2" eb="4">
      <t>ネンメ</t>
    </rPh>
    <phoneticPr fontId="2"/>
  </si>
  <si>
    <t>●５年目</t>
    <rPh sb="2" eb="4">
      <t>ネンメ</t>
    </rPh>
    <phoneticPr fontId="2"/>
  </si>
  <si>
    <t>定例積立</t>
    <rPh sb="0" eb="2">
      <t>テイレイ</t>
    </rPh>
    <rPh sb="2" eb="4">
      <t>ツミタテ</t>
    </rPh>
    <phoneticPr fontId="2"/>
  </si>
  <si>
    <t>手当積立</t>
    <rPh sb="0" eb="2">
      <t>テアテ</t>
    </rPh>
    <rPh sb="2" eb="4">
      <t>ツミタテ</t>
    </rPh>
    <phoneticPr fontId="2"/>
  </si>
  <si>
    <t>※この表はあくまでシミュレーションです。実際の利息額をお約束するものではございません。</t>
    <rPh sb="3" eb="4">
      <t>ヒョウ</t>
    </rPh>
    <rPh sb="20" eb="22">
      <t>ジッサイ</t>
    </rPh>
    <rPh sb="23" eb="25">
      <t>リソク</t>
    </rPh>
    <rPh sb="25" eb="26">
      <t>ガク</t>
    </rPh>
    <rPh sb="28" eb="30">
      <t>ヤクソク</t>
    </rPh>
    <phoneticPr fontId="2"/>
  </si>
  <si>
    <t>●積立開始年月</t>
    <rPh sb="1" eb="3">
      <t>ツミタテ</t>
    </rPh>
    <rPh sb="3" eb="7">
      <t>カイシネンツキ</t>
    </rPh>
    <phoneticPr fontId="2"/>
  </si>
  <si>
    <t>●積立金額</t>
    <rPh sb="1" eb="3">
      <t>ツミタテ</t>
    </rPh>
    <rPh sb="3" eb="5">
      <t>キンガク</t>
    </rPh>
    <phoneticPr fontId="2"/>
  </si>
  <si>
    <t>金　額</t>
    <rPh sb="0" eb="1">
      <t>キン</t>
    </rPh>
    <rPh sb="2" eb="3">
      <t>ガク</t>
    </rPh>
    <phoneticPr fontId="2"/>
  </si>
  <si>
    <t>入払金額</t>
    <rPh sb="0" eb="2">
      <t>イリハライ</t>
    </rPh>
    <rPh sb="2" eb="4">
      <t>キンガク</t>
    </rPh>
    <phoneticPr fontId="2"/>
  </si>
  <si>
    <t>利息組入前残高</t>
    <rPh sb="0" eb="2">
      <t>リソク</t>
    </rPh>
    <rPh sb="2" eb="4">
      <t>クミイ</t>
    </rPh>
    <rPh sb="4" eb="5">
      <t>マエ</t>
    </rPh>
    <rPh sb="5" eb="7">
      <t>ザンダカ</t>
    </rPh>
    <phoneticPr fontId="2"/>
  </si>
  <si>
    <t>利息組入後繰越残高</t>
    <rPh sb="0" eb="2">
      <t>リソク</t>
    </rPh>
    <rPh sb="2" eb="4">
      <t>クミイ</t>
    </rPh>
    <rPh sb="4" eb="5">
      <t>ゴ</t>
    </rPh>
    <rPh sb="5" eb="9">
      <t>クリコシザンダカ</t>
    </rPh>
    <phoneticPr fontId="2"/>
  </si>
  <si>
    <t>利息額・税額</t>
    <rPh sb="0" eb="2">
      <t>リソク</t>
    </rPh>
    <rPh sb="2" eb="3">
      <t>ガク</t>
    </rPh>
    <rPh sb="4" eb="6">
      <t>ゼイガク</t>
    </rPh>
    <phoneticPr fontId="2"/>
  </si>
  <si>
    <t>税額合計</t>
    <rPh sb="0" eb="2">
      <t>ゼイガク</t>
    </rPh>
    <rPh sb="2" eb="4">
      <t>ゴウケイ</t>
    </rPh>
    <phoneticPr fontId="2"/>
  </si>
  <si>
    <t>積立開始年</t>
    <rPh sb="0" eb="2">
      <t>ツミタテ</t>
    </rPh>
    <rPh sb="2" eb="4">
      <t>カイシ</t>
    </rPh>
    <rPh sb="4" eb="5">
      <t>ネン</t>
    </rPh>
    <phoneticPr fontId="2"/>
  </si>
  <si>
    <t>積立開始月</t>
    <rPh sb="0" eb="2">
      <t>ツミタテ</t>
    </rPh>
    <rPh sb="2" eb="4">
      <t>カイシ</t>
    </rPh>
    <rPh sb="4" eb="5">
      <t>ツキ</t>
    </rPh>
    <phoneticPr fontId="2"/>
  </si>
  <si>
    <t>●６年目</t>
    <rPh sb="2" eb="4">
      <t>ネンメ</t>
    </rPh>
    <phoneticPr fontId="2"/>
  </si>
  <si>
    <t>●７年目</t>
    <rPh sb="2" eb="4">
      <t>ネンメ</t>
    </rPh>
    <phoneticPr fontId="2"/>
  </si>
  <si>
    <t>●８年目</t>
    <rPh sb="2" eb="4">
      <t>ネンメ</t>
    </rPh>
    <phoneticPr fontId="2"/>
  </si>
  <si>
    <t>●９年目</t>
    <rPh sb="2" eb="4">
      <t>ネンメ</t>
    </rPh>
    <phoneticPr fontId="2"/>
  </si>
  <si>
    <t>●10年目</t>
    <rPh sb="3" eb="5">
      <t>ネンメ</t>
    </rPh>
    <phoneticPr fontId="2"/>
  </si>
  <si>
    <t>積立開始年月及び積立金額を入力することで、貯金残高と利息額のシミュレーションが可能です。積立計画の参考としてご活用ください。</t>
    <rPh sb="0" eb="2">
      <t>ツミタテ</t>
    </rPh>
    <rPh sb="2" eb="4">
      <t>カイシ</t>
    </rPh>
    <rPh sb="4" eb="6">
      <t>ネンツキ</t>
    </rPh>
    <rPh sb="6" eb="7">
      <t>オヨ</t>
    </rPh>
    <rPh sb="8" eb="12">
      <t>ツミタテキンガク</t>
    </rPh>
    <rPh sb="13" eb="15">
      <t>ニュウリョク</t>
    </rPh>
    <rPh sb="21" eb="23">
      <t>チョキン</t>
    </rPh>
    <rPh sb="23" eb="25">
      <t>ザンダカ</t>
    </rPh>
    <rPh sb="26" eb="29">
      <t>リソクガク</t>
    </rPh>
    <rPh sb="39" eb="41">
      <t>カノウ</t>
    </rPh>
    <rPh sb="44" eb="46">
      <t>ツミタテ</t>
    </rPh>
    <rPh sb="46" eb="48">
      <t>ケイカク</t>
    </rPh>
    <rPh sb="49" eb="51">
      <t>サンコウ</t>
    </rPh>
    <rPh sb="55" eb="57">
      <t>カツヨウ</t>
    </rPh>
    <phoneticPr fontId="2"/>
  </si>
  <si>
    <t>　　　　　　◇ ◆ ◇ 共済貯金　積立シミュレーション ◇ ◆ ◇</t>
    <rPh sb="12" eb="14">
      <t>キョウサイ</t>
    </rPh>
    <rPh sb="14" eb="16">
      <t>チョキン</t>
    </rPh>
    <rPh sb="17" eb="19">
      <t>ツミタテ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</si>
</sst>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76" formatCode="#,##0_);[Red]\(#,##0\)"/>
    <numFmt numFmtId="177" formatCode="0;[Red]0"/>
    <numFmt numFmtId="178" formatCode="0.000%"/>
    <numFmt numFmtId="179" formatCode="#,##0;[Red]#,##0"/>
    <numFmt numFmtId="180" formatCode="#,##0&quot;円&quot;;[Red]#,##0&quot;円&quot;"/>
    <numFmt numFmtId="181" formatCode="0&quot;年&quot;;[Red]0&quot;年&quot;"/>
    <numFmt numFmtId="182" formatCode="0&quot;月&quot;;[Red]0&quot;月&quot;"/>
    <numFmt numFmtId="183" formatCode="#,##0_ ;[Red]\-#,##0\ "/>
  </numFmts>
  <fonts count="14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sz val="18"/>
      <name val="ＭＳ Ｐゴシック"/>
      <family val="3"/>
      <charset val="128"/>
    </font>
    <font>
      <u/>
      <sz val="18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name val="ＭＳ ゴシック"/>
      <family val="3"/>
      <charset val="128"/>
    </font>
    <font>
      <sz val="14"/>
      <name val="ＭＳ ゴシック"/>
      <family val="3"/>
      <charset val="128"/>
    </font>
    <font>
      <sz val="10"/>
      <name val="ＭＳ 明朝"/>
      <family val="1"/>
      <charset val="128"/>
    </font>
    <font>
      <b/>
      <sz val="14"/>
      <name val="ＭＳ 明朝"/>
      <family val="1"/>
      <charset val="128"/>
    </font>
    <font>
      <b/>
      <sz val="14"/>
      <color rgb="FF000099"/>
      <name val="ＭＳ 明朝"/>
      <family val="1"/>
      <charset val="128"/>
    </font>
    <font>
      <b/>
      <sz val="10"/>
      <name val="ＭＳ 明朝"/>
      <family val="1"/>
      <charset val="128"/>
    </font>
  </fonts>
  <fills count="12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</fills>
  <borders count="39">
    <border>
      <left/>
      <right/>
      <top/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double">
        <color indexed="64"/>
      </right>
      <top style="hair">
        <color indexed="64"/>
      </top>
      <bottom style="double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83">
    <xf numFmtId="0" fontId="0" fillId="0" borderId="0" xfId="0">
      <alignment vertical="center"/>
    </xf>
    <xf numFmtId="0" fontId="3" fillId="0" borderId="0" xfId="0" applyFont="1">
      <alignment vertical="center"/>
    </xf>
    <xf numFmtId="3" fontId="3" fillId="0" borderId="0" xfId="0" applyNumberFormat="1" applyFont="1">
      <alignment vertical="center"/>
    </xf>
    <xf numFmtId="38" fontId="3" fillId="0" borderId="0" xfId="1" applyFont="1">
      <alignment vertical="center"/>
    </xf>
    <xf numFmtId="0" fontId="4" fillId="0" borderId="0" xfId="0" applyFont="1">
      <alignment vertical="center"/>
    </xf>
    <xf numFmtId="3" fontId="4" fillId="0" borderId="0" xfId="0" applyNumberFormat="1" applyFont="1">
      <alignment vertical="center"/>
    </xf>
    <xf numFmtId="0" fontId="3" fillId="0" borderId="1" xfId="0" applyFont="1" applyBorder="1">
      <alignment vertical="center"/>
    </xf>
    <xf numFmtId="0" fontId="3" fillId="0" borderId="2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4" xfId="0" applyFont="1" applyBorder="1">
      <alignment vertical="center"/>
    </xf>
    <xf numFmtId="176" fontId="3" fillId="0" borderId="4" xfId="0" applyNumberFormat="1" applyFont="1" applyBorder="1">
      <alignment vertical="center"/>
    </xf>
    <xf numFmtId="38" fontId="3" fillId="0" borderId="4" xfId="1" applyFont="1" applyBorder="1">
      <alignment vertical="center"/>
    </xf>
    <xf numFmtId="14" fontId="3" fillId="0" borderId="4" xfId="0" applyNumberFormat="1" applyFont="1" applyBorder="1">
      <alignment vertical="center"/>
    </xf>
    <xf numFmtId="3" fontId="3" fillId="0" borderId="4" xfId="0" applyNumberFormat="1" applyFont="1" applyBorder="1">
      <alignment vertical="center"/>
    </xf>
    <xf numFmtId="3" fontId="3" fillId="0" borderId="5" xfId="0" applyNumberFormat="1" applyFont="1" applyBorder="1">
      <alignment vertical="center"/>
    </xf>
    <xf numFmtId="3" fontId="3" fillId="0" borderId="6" xfId="0" applyNumberFormat="1" applyFont="1" applyBorder="1">
      <alignment vertical="center"/>
    </xf>
    <xf numFmtId="3" fontId="3" fillId="0" borderId="7" xfId="0" applyNumberFormat="1" applyFont="1" applyBorder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4" xfId="0" applyFont="1" applyBorder="1" applyAlignment="1">
      <alignment horizontal="center" vertical="center"/>
    </xf>
    <xf numFmtId="176" fontId="3" fillId="0" borderId="4" xfId="0" applyNumberFormat="1" applyFont="1" applyBorder="1" applyAlignment="1">
      <alignment horizontal="center" vertical="center"/>
    </xf>
    <xf numFmtId="3" fontId="3" fillId="0" borderId="4" xfId="0" applyNumberFormat="1" applyFont="1" applyBorder="1" applyAlignment="1">
      <alignment horizontal="center" vertical="center"/>
    </xf>
    <xf numFmtId="38" fontId="3" fillId="0" borderId="4" xfId="1" applyFont="1" applyBorder="1" applyAlignment="1">
      <alignment horizontal="center" vertical="center"/>
    </xf>
    <xf numFmtId="38" fontId="4" fillId="0" borderId="0" xfId="1" applyFont="1" applyBorder="1">
      <alignment vertical="center"/>
    </xf>
    <xf numFmtId="0" fontId="4" fillId="0" borderId="0" xfId="0" applyFont="1" applyAlignment="1">
      <alignment horizontal="right" vertical="center"/>
    </xf>
    <xf numFmtId="38" fontId="5" fillId="0" borderId="0" xfId="1" applyFont="1" applyBorder="1" applyAlignment="1">
      <alignment vertical="center"/>
    </xf>
    <xf numFmtId="38" fontId="6" fillId="0" borderId="0" xfId="1" applyFont="1" applyBorder="1" applyAlignment="1">
      <alignment vertical="center"/>
    </xf>
    <xf numFmtId="0" fontId="3" fillId="5" borderId="4" xfId="0" applyFont="1" applyFill="1" applyBorder="1">
      <alignment vertical="center"/>
    </xf>
    <xf numFmtId="3" fontId="7" fillId="0" borderId="5" xfId="0" applyNumberFormat="1" applyFont="1" applyBorder="1">
      <alignment vertical="center"/>
    </xf>
    <xf numFmtId="3" fontId="7" fillId="0" borderId="6" xfId="0" applyNumberFormat="1" applyFont="1" applyBorder="1">
      <alignment vertical="center"/>
    </xf>
    <xf numFmtId="3" fontId="7" fillId="0" borderId="7" xfId="0" applyNumberFormat="1" applyFont="1" applyBorder="1">
      <alignment vertical="center"/>
    </xf>
    <xf numFmtId="0" fontId="7" fillId="0" borderId="3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3" fontId="8" fillId="0" borderId="0" xfId="0" applyNumberFormat="1" applyFont="1">
      <alignment vertical="center"/>
    </xf>
    <xf numFmtId="0" fontId="8" fillId="0" borderId="0" xfId="0" applyFont="1">
      <alignment vertical="center"/>
    </xf>
    <xf numFmtId="0" fontId="8" fillId="0" borderId="8" xfId="0" applyFont="1" applyBorder="1">
      <alignment vertical="center"/>
    </xf>
    <xf numFmtId="176" fontId="8" fillId="0" borderId="8" xfId="0" applyNumberFormat="1" applyFont="1" applyBorder="1">
      <alignment vertical="center"/>
    </xf>
    <xf numFmtId="3" fontId="8" fillId="0" borderId="8" xfId="0" applyNumberFormat="1" applyFont="1" applyBorder="1">
      <alignment vertical="center"/>
    </xf>
    <xf numFmtId="14" fontId="8" fillId="0" borderId="0" xfId="0" applyNumberFormat="1" applyFont="1">
      <alignment vertical="center"/>
    </xf>
    <xf numFmtId="176" fontId="8" fillId="0" borderId="0" xfId="0" applyNumberFormat="1" applyFont="1">
      <alignment vertical="center"/>
    </xf>
    <xf numFmtId="0" fontId="8" fillId="0" borderId="9" xfId="0" applyFont="1" applyBorder="1">
      <alignment vertical="center"/>
    </xf>
    <xf numFmtId="0" fontId="8" fillId="0" borderId="10" xfId="0" applyFont="1" applyBorder="1">
      <alignment vertical="center"/>
    </xf>
    <xf numFmtId="0" fontId="8" fillId="0" borderId="11" xfId="0" applyFont="1" applyBorder="1">
      <alignment vertical="center"/>
    </xf>
    <xf numFmtId="3" fontId="8" fillId="0" borderId="12" xfId="0" applyNumberFormat="1" applyFont="1" applyBorder="1">
      <alignment vertical="center"/>
    </xf>
    <xf numFmtId="3" fontId="8" fillId="2" borderId="8" xfId="0" applyNumberFormat="1" applyFont="1" applyFill="1" applyBorder="1">
      <alignment vertical="center"/>
    </xf>
    <xf numFmtId="3" fontId="8" fillId="0" borderId="13" xfId="0" applyNumberFormat="1" applyFont="1" applyBorder="1">
      <alignment vertical="center"/>
    </xf>
    <xf numFmtId="0" fontId="8" fillId="3" borderId="0" xfId="0" applyFont="1" applyFill="1">
      <alignment vertical="center"/>
    </xf>
    <xf numFmtId="176" fontId="8" fillId="4" borderId="0" xfId="0" applyNumberFormat="1" applyFont="1" applyFill="1">
      <alignment vertical="center"/>
    </xf>
    <xf numFmtId="3" fontId="9" fillId="0" borderId="0" xfId="0" applyNumberFormat="1" applyFont="1">
      <alignment vertical="center"/>
    </xf>
    <xf numFmtId="0" fontId="9" fillId="0" borderId="0" xfId="0" applyFont="1">
      <alignment vertical="center"/>
    </xf>
    <xf numFmtId="0" fontId="9" fillId="0" borderId="8" xfId="0" applyFont="1" applyBorder="1">
      <alignment vertical="center"/>
    </xf>
    <xf numFmtId="176" fontId="9" fillId="0" borderId="8" xfId="0" applyNumberFormat="1" applyFont="1" applyBorder="1">
      <alignment vertical="center"/>
    </xf>
    <xf numFmtId="3" fontId="9" fillId="0" borderId="8" xfId="0" applyNumberFormat="1" applyFont="1" applyBorder="1">
      <alignment vertical="center"/>
    </xf>
    <xf numFmtId="14" fontId="9" fillId="0" borderId="0" xfId="0" applyNumberFormat="1" applyFont="1">
      <alignment vertical="center"/>
    </xf>
    <xf numFmtId="176" fontId="9" fillId="0" borderId="0" xfId="0" applyNumberFormat="1" applyFont="1">
      <alignment vertical="center"/>
    </xf>
    <xf numFmtId="0" fontId="9" fillId="0" borderId="9" xfId="0" applyFont="1" applyBorder="1">
      <alignment vertical="center"/>
    </xf>
    <xf numFmtId="0" fontId="9" fillId="0" borderId="10" xfId="0" applyFont="1" applyBorder="1">
      <alignment vertical="center"/>
    </xf>
    <xf numFmtId="0" fontId="9" fillId="0" borderId="11" xfId="0" applyFont="1" applyBorder="1">
      <alignment vertical="center"/>
    </xf>
    <xf numFmtId="3" fontId="9" fillId="0" borderId="12" xfId="0" applyNumberFormat="1" applyFont="1" applyBorder="1">
      <alignment vertical="center"/>
    </xf>
    <xf numFmtId="3" fontId="9" fillId="2" borderId="8" xfId="0" applyNumberFormat="1" applyFont="1" applyFill="1" applyBorder="1">
      <alignment vertical="center"/>
    </xf>
    <xf numFmtId="3" fontId="9" fillId="0" borderId="13" xfId="0" applyNumberFormat="1" applyFont="1" applyBorder="1">
      <alignment vertical="center"/>
    </xf>
    <xf numFmtId="0" fontId="9" fillId="3" borderId="0" xfId="0" applyFont="1" applyFill="1">
      <alignment vertical="center"/>
    </xf>
    <xf numFmtId="176" fontId="9" fillId="4" borderId="0" xfId="0" applyNumberFormat="1" applyFont="1" applyFill="1">
      <alignment vertical="center"/>
    </xf>
    <xf numFmtId="14" fontId="9" fillId="6" borderId="0" xfId="0" applyNumberFormat="1" applyFont="1" applyFill="1">
      <alignment vertical="center"/>
    </xf>
    <xf numFmtId="0" fontId="9" fillId="6" borderId="0" xfId="0" applyFont="1" applyFill="1">
      <alignment vertical="center"/>
    </xf>
    <xf numFmtId="176" fontId="9" fillId="6" borderId="0" xfId="0" applyNumberFormat="1" applyFont="1" applyFill="1">
      <alignment vertical="center"/>
    </xf>
    <xf numFmtId="3" fontId="9" fillId="6" borderId="0" xfId="0" applyNumberFormat="1" applyFont="1" applyFill="1">
      <alignment vertical="center"/>
    </xf>
    <xf numFmtId="38" fontId="9" fillId="0" borderId="0" xfId="1" applyFont="1">
      <alignment vertical="center"/>
    </xf>
    <xf numFmtId="38" fontId="9" fillId="0" borderId="8" xfId="1" applyFont="1" applyBorder="1">
      <alignment vertical="center"/>
    </xf>
    <xf numFmtId="38" fontId="9" fillId="6" borderId="0" xfId="1" applyFont="1" applyFill="1">
      <alignment vertical="center"/>
    </xf>
    <xf numFmtId="38" fontId="9" fillId="0" borderId="0" xfId="1" applyFont="1" applyFill="1">
      <alignment vertical="center"/>
    </xf>
    <xf numFmtId="10" fontId="9" fillId="0" borderId="0" xfId="0" applyNumberFormat="1" applyFont="1">
      <alignment vertical="center"/>
    </xf>
    <xf numFmtId="38" fontId="9" fillId="0" borderId="0" xfId="0" applyNumberFormat="1" applyFont="1">
      <alignment vertical="center"/>
    </xf>
    <xf numFmtId="38" fontId="8" fillId="0" borderId="0" xfId="1" applyFont="1">
      <alignment vertical="center"/>
    </xf>
    <xf numFmtId="38" fontId="8" fillId="0" borderId="8" xfId="1" applyFont="1" applyBorder="1">
      <alignment vertical="center"/>
    </xf>
    <xf numFmtId="38" fontId="8" fillId="0" borderId="0" xfId="1" applyFont="1" applyFill="1">
      <alignment vertical="center"/>
    </xf>
    <xf numFmtId="10" fontId="8" fillId="0" borderId="0" xfId="0" applyNumberFormat="1" applyFont="1">
      <alignment vertical="center"/>
    </xf>
    <xf numFmtId="38" fontId="9" fillId="0" borderId="0" xfId="1" applyFont="1" applyBorder="1">
      <alignment vertical="center"/>
    </xf>
    <xf numFmtId="14" fontId="9" fillId="5" borderId="0" xfId="0" applyNumberFormat="1" applyFont="1" applyFill="1">
      <alignment vertical="center"/>
    </xf>
    <xf numFmtId="176" fontId="9" fillId="5" borderId="0" xfId="0" applyNumberFormat="1" applyFont="1" applyFill="1">
      <alignment vertical="center"/>
    </xf>
    <xf numFmtId="38" fontId="9" fillId="5" borderId="0" xfId="1" applyFont="1" applyFill="1" applyBorder="1">
      <alignment vertical="center"/>
    </xf>
    <xf numFmtId="14" fontId="9" fillId="6" borderId="0" xfId="0" applyNumberFormat="1" applyFont="1" applyFill="1" applyAlignment="1">
      <alignment horizontal="right" vertical="center"/>
    </xf>
    <xf numFmtId="38" fontId="9" fillId="5" borderId="0" xfId="1" applyFont="1" applyFill="1">
      <alignment vertical="center"/>
    </xf>
    <xf numFmtId="38" fontId="9" fillId="0" borderId="0" xfId="1" applyFont="1" applyFill="1" applyBorder="1">
      <alignment vertical="center"/>
    </xf>
    <xf numFmtId="38" fontId="9" fillId="0" borderId="0" xfId="0" applyNumberFormat="1" applyFont="1" applyAlignment="1">
      <alignment horizontal="right" vertical="center"/>
    </xf>
    <xf numFmtId="0" fontId="9" fillId="0" borderId="14" xfId="0" applyFont="1" applyBorder="1">
      <alignment vertical="center"/>
    </xf>
    <xf numFmtId="0" fontId="9" fillId="0" borderId="15" xfId="0" applyFont="1" applyBorder="1">
      <alignment vertical="center"/>
    </xf>
    <xf numFmtId="0" fontId="9" fillId="0" borderId="16" xfId="0" applyFont="1" applyBorder="1">
      <alignment vertical="center"/>
    </xf>
    <xf numFmtId="3" fontId="9" fillId="5" borderId="12" xfId="0" applyNumberFormat="1" applyFont="1" applyFill="1" applyBorder="1">
      <alignment vertical="center"/>
    </xf>
    <xf numFmtId="180" fontId="10" fillId="8" borderId="4" xfId="0" applyNumberFormat="1" applyFont="1" applyFill="1" applyBorder="1" applyProtection="1">
      <alignment vertical="center"/>
      <protection locked="0"/>
    </xf>
    <xf numFmtId="0" fontId="9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3" fontId="3" fillId="0" borderId="17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3" fontId="3" fillId="0" borderId="17" xfId="0" applyNumberFormat="1" applyFont="1" applyBorder="1" applyAlignment="1">
      <alignment horizontal="right" vertical="center"/>
    </xf>
    <xf numFmtId="0" fontId="12" fillId="7" borderId="0" xfId="0" applyFont="1" applyFill="1">
      <alignment vertical="center"/>
    </xf>
    <xf numFmtId="0" fontId="10" fillId="7" borderId="0" xfId="0" applyFont="1" applyFill="1">
      <alignment vertical="center"/>
    </xf>
    <xf numFmtId="3" fontId="10" fillId="7" borderId="0" xfId="0" applyNumberFormat="1" applyFont="1" applyFill="1">
      <alignment vertical="center"/>
    </xf>
    <xf numFmtId="38" fontId="10" fillId="7" borderId="0" xfId="1" applyFont="1" applyFill="1" applyProtection="1">
      <alignment vertical="center"/>
    </xf>
    <xf numFmtId="177" fontId="10" fillId="7" borderId="0" xfId="1" applyNumberFormat="1" applyFont="1" applyFill="1" applyBorder="1" applyAlignment="1" applyProtection="1">
      <alignment vertical="center"/>
    </xf>
    <xf numFmtId="38" fontId="10" fillId="7" borderId="0" xfId="1" applyFont="1" applyFill="1" applyBorder="1" applyAlignment="1" applyProtection="1">
      <alignment vertical="center"/>
    </xf>
    <xf numFmtId="177" fontId="10" fillId="7" borderId="0" xfId="1" applyNumberFormat="1" applyFont="1" applyFill="1" applyBorder="1" applyProtection="1">
      <alignment vertical="center"/>
    </xf>
    <xf numFmtId="38" fontId="10" fillId="7" borderId="0" xfId="1" applyFont="1" applyFill="1" applyBorder="1" applyProtection="1">
      <alignment vertical="center"/>
    </xf>
    <xf numFmtId="0" fontId="10" fillId="7" borderId="4" xfId="0" applyFont="1" applyFill="1" applyBorder="1" applyAlignment="1">
      <alignment horizontal="center" vertical="center"/>
    </xf>
    <xf numFmtId="38" fontId="10" fillId="7" borderId="0" xfId="1" applyFont="1" applyFill="1" applyBorder="1" applyAlignment="1" applyProtection="1">
      <alignment horizontal="center" vertical="center"/>
    </xf>
    <xf numFmtId="182" fontId="10" fillId="7" borderId="0" xfId="0" applyNumberFormat="1" applyFont="1" applyFill="1" applyAlignment="1">
      <alignment horizontal="center" vertical="center"/>
    </xf>
    <xf numFmtId="176" fontId="10" fillId="7" borderId="30" xfId="0" applyNumberFormat="1" applyFont="1" applyFill="1" applyBorder="1" applyAlignment="1">
      <alignment horizontal="center" vertical="center" wrapText="1"/>
    </xf>
    <xf numFmtId="176" fontId="10" fillId="7" borderId="4" xfId="0" applyNumberFormat="1" applyFont="1" applyFill="1" applyBorder="1" applyAlignment="1">
      <alignment horizontal="center" vertical="center"/>
    </xf>
    <xf numFmtId="3" fontId="10" fillId="7" borderId="4" xfId="0" applyNumberFormat="1" applyFont="1" applyFill="1" applyBorder="1" applyAlignment="1">
      <alignment horizontal="center" vertical="center"/>
    </xf>
    <xf numFmtId="38" fontId="10" fillId="7" borderId="4" xfId="1" applyFont="1" applyFill="1" applyBorder="1" applyAlignment="1" applyProtection="1">
      <alignment horizontal="center" vertical="center"/>
    </xf>
    <xf numFmtId="0" fontId="10" fillId="7" borderId="4" xfId="0" applyFont="1" applyFill="1" applyBorder="1" applyAlignment="1">
      <alignment horizontal="center" vertical="center"/>
    </xf>
    <xf numFmtId="176" fontId="10" fillId="7" borderId="31" xfId="0" applyNumberFormat="1" applyFont="1" applyFill="1" applyBorder="1" applyAlignment="1">
      <alignment horizontal="center" vertical="center" wrapText="1"/>
    </xf>
    <xf numFmtId="178" fontId="10" fillId="7" borderId="0" xfId="0" applyNumberFormat="1" applyFont="1" applyFill="1">
      <alignment vertical="center"/>
    </xf>
    <xf numFmtId="0" fontId="10" fillId="7" borderId="4" xfId="0" applyFont="1" applyFill="1" applyBorder="1" applyAlignment="1" applyProtection="1">
      <alignment horizontal="center" vertical="center"/>
      <protection hidden="1"/>
    </xf>
    <xf numFmtId="14" fontId="10" fillId="7" borderId="4" xfId="0" applyNumberFormat="1" applyFont="1" applyFill="1" applyBorder="1" applyAlignment="1" applyProtection="1">
      <alignment horizontal="center" vertical="center"/>
      <protection hidden="1"/>
    </xf>
    <xf numFmtId="176" fontId="10" fillId="7" borderId="4" xfId="0" applyNumberFormat="1" applyFont="1" applyFill="1" applyBorder="1" applyProtection="1">
      <alignment vertical="center"/>
      <protection hidden="1"/>
    </xf>
    <xf numFmtId="14" fontId="10" fillId="7" borderId="31" xfId="0" applyNumberFormat="1" applyFont="1" applyFill="1" applyBorder="1" applyAlignment="1" applyProtection="1">
      <alignment horizontal="center" vertical="center"/>
      <protection hidden="1"/>
    </xf>
    <xf numFmtId="0" fontId="10" fillId="7" borderId="4" xfId="0" applyFont="1" applyFill="1" applyBorder="1" applyProtection="1">
      <alignment vertical="center"/>
      <protection hidden="1"/>
    </xf>
    <xf numFmtId="177" fontId="10" fillId="7" borderId="4" xfId="0" applyNumberFormat="1" applyFont="1" applyFill="1" applyBorder="1" applyProtection="1">
      <alignment vertical="center"/>
      <protection hidden="1"/>
    </xf>
    <xf numFmtId="3" fontId="10" fillId="7" borderId="4" xfId="0" applyNumberFormat="1" applyFont="1" applyFill="1" applyBorder="1" applyProtection="1">
      <alignment vertical="center"/>
      <protection hidden="1"/>
    </xf>
    <xf numFmtId="38" fontId="10" fillId="7" borderId="4" xfId="1" applyFont="1" applyFill="1" applyBorder="1" applyProtection="1">
      <alignment vertical="center"/>
      <protection hidden="1"/>
    </xf>
    <xf numFmtId="9" fontId="10" fillId="7" borderId="0" xfId="0" applyNumberFormat="1" applyFont="1" applyFill="1">
      <alignment vertical="center"/>
    </xf>
    <xf numFmtId="0" fontId="10" fillId="7" borderId="0" xfId="0" applyFont="1" applyFill="1" applyAlignment="1">
      <alignment horizontal="center" vertical="center"/>
    </xf>
    <xf numFmtId="14" fontId="10" fillId="7" borderId="20" xfId="0" applyNumberFormat="1" applyFont="1" applyFill="1" applyBorder="1">
      <alignment vertical="center"/>
    </xf>
    <xf numFmtId="0" fontId="10" fillId="7" borderId="4" xfId="0" applyFont="1" applyFill="1" applyBorder="1" applyAlignment="1">
      <alignment horizontal="center" vertical="center" shrinkToFit="1"/>
    </xf>
    <xf numFmtId="183" fontId="10" fillId="7" borderId="4" xfId="0" applyNumberFormat="1" applyFont="1" applyFill="1" applyBorder="1" applyProtection="1">
      <alignment vertical="center"/>
      <protection hidden="1"/>
    </xf>
    <xf numFmtId="0" fontId="10" fillId="7" borderId="20" xfId="0" applyFont="1" applyFill="1" applyBorder="1">
      <alignment vertical="center"/>
    </xf>
    <xf numFmtId="3" fontId="10" fillId="7" borderId="20" xfId="0" applyNumberFormat="1" applyFont="1" applyFill="1" applyBorder="1">
      <alignment vertical="center"/>
    </xf>
    <xf numFmtId="177" fontId="10" fillId="7" borderId="0" xfId="1" applyNumberFormat="1" applyFont="1" applyFill="1" applyProtection="1">
      <alignment vertical="center"/>
    </xf>
    <xf numFmtId="181" fontId="10" fillId="9" borderId="4" xfId="0" applyNumberFormat="1" applyFont="1" applyFill="1" applyBorder="1" applyAlignment="1" applyProtection="1">
      <alignment horizontal="center" vertical="center"/>
      <protection locked="0"/>
    </xf>
    <xf numFmtId="182" fontId="10" fillId="9" borderId="4" xfId="0" applyNumberFormat="1" applyFont="1" applyFill="1" applyBorder="1" applyAlignment="1" applyProtection="1">
      <alignment horizontal="center" vertical="center"/>
      <protection locked="0"/>
    </xf>
    <xf numFmtId="180" fontId="11" fillId="10" borderId="25" xfId="0" applyNumberFormat="1" applyFont="1" applyFill="1" applyBorder="1" applyProtection="1">
      <alignment vertical="center"/>
      <protection hidden="1"/>
    </xf>
    <xf numFmtId="180" fontId="11" fillId="10" borderId="26" xfId="0" applyNumberFormat="1" applyFont="1" applyFill="1" applyBorder="1" applyProtection="1">
      <alignment vertical="center"/>
      <protection hidden="1"/>
    </xf>
    <xf numFmtId="180" fontId="11" fillId="10" borderId="27" xfId="0" applyNumberFormat="1" applyFont="1" applyFill="1" applyBorder="1" applyProtection="1">
      <alignment vertical="center"/>
      <protection hidden="1"/>
    </xf>
    <xf numFmtId="180" fontId="11" fillId="10" borderId="28" xfId="0" applyNumberFormat="1" applyFont="1" applyFill="1" applyBorder="1" applyProtection="1">
      <alignment vertical="center"/>
      <protection hidden="1"/>
    </xf>
    <xf numFmtId="0" fontId="10" fillId="10" borderId="4" xfId="0" applyFont="1" applyFill="1" applyBorder="1" applyAlignment="1">
      <alignment horizontal="center" vertical="center"/>
    </xf>
    <xf numFmtId="176" fontId="10" fillId="10" borderId="30" xfId="0" applyNumberFormat="1" applyFont="1" applyFill="1" applyBorder="1" applyAlignment="1">
      <alignment horizontal="center" vertical="center" wrapText="1"/>
    </xf>
    <xf numFmtId="176" fontId="10" fillId="10" borderId="4" xfId="0" applyNumberFormat="1" applyFont="1" applyFill="1" applyBorder="1" applyAlignment="1">
      <alignment horizontal="center" vertical="center"/>
    </xf>
    <xf numFmtId="0" fontId="10" fillId="10" borderId="4" xfId="0" applyFont="1" applyFill="1" applyBorder="1" applyAlignment="1">
      <alignment horizontal="center" vertical="center"/>
    </xf>
    <xf numFmtId="176" fontId="10" fillId="10" borderId="31" xfId="0" applyNumberFormat="1" applyFont="1" applyFill="1" applyBorder="1" applyAlignment="1">
      <alignment horizontal="center" vertical="center" wrapText="1"/>
    </xf>
    <xf numFmtId="0" fontId="10" fillId="10" borderId="4" xfId="0" applyFont="1" applyFill="1" applyBorder="1" applyAlignment="1" applyProtection="1">
      <alignment horizontal="center" vertical="center"/>
      <protection hidden="1"/>
    </xf>
    <xf numFmtId="177" fontId="10" fillId="10" borderId="4" xfId="0" applyNumberFormat="1" applyFont="1" applyFill="1" applyBorder="1" applyAlignment="1" applyProtection="1">
      <alignment horizontal="center" vertical="center"/>
      <protection hidden="1"/>
    </xf>
    <xf numFmtId="14" fontId="10" fillId="10" borderId="4" xfId="0" applyNumberFormat="1" applyFont="1" applyFill="1" applyBorder="1" applyAlignment="1" applyProtection="1">
      <alignment horizontal="center" vertical="center"/>
      <protection hidden="1"/>
    </xf>
    <xf numFmtId="176" fontId="10" fillId="10" borderId="4" xfId="0" applyNumberFormat="1" applyFont="1" applyFill="1" applyBorder="1" applyProtection="1">
      <alignment vertical="center"/>
      <protection hidden="1"/>
    </xf>
    <xf numFmtId="0" fontId="10" fillId="10" borderId="4" xfId="0" applyFont="1" applyFill="1" applyBorder="1" applyAlignment="1">
      <alignment horizontal="center" vertical="center" shrinkToFit="1"/>
    </xf>
    <xf numFmtId="183" fontId="10" fillId="10" borderId="4" xfId="0" applyNumberFormat="1" applyFont="1" applyFill="1" applyBorder="1" applyProtection="1">
      <alignment vertical="center"/>
      <protection hidden="1"/>
    </xf>
    <xf numFmtId="0" fontId="10" fillId="10" borderId="23" xfId="0" applyFont="1" applyFill="1" applyBorder="1">
      <alignment vertical="center"/>
    </xf>
    <xf numFmtId="0" fontId="10" fillId="10" borderId="24" xfId="0" applyFont="1" applyFill="1" applyBorder="1">
      <alignment vertical="center"/>
    </xf>
    <xf numFmtId="0" fontId="10" fillId="10" borderId="4" xfId="0" applyFont="1" applyFill="1" applyBorder="1">
      <alignment vertical="center"/>
    </xf>
    <xf numFmtId="0" fontId="10" fillId="10" borderId="23" xfId="0" applyFont="1" applyFill="1" applyBorder="1" applyAlignment="1">
      <alignment horizontal="center" vertical="center"/>
    </xf>
    <xf numFmtId="0" fontId="10" fillId="10" borderId="24" xfId="0" applyFont="1" applyFill="1" applyBorder="1" applyAlignment="1">
      <alignment horizontal="center" vertical="center"/>
    </xf>
    <xf numFmtId="0" fontId="10" fillId="10" borderId="18" xfId="0" applyFont="1" applyFill="1" applyBorder="1" applyAlignment="1">
      <alignment horizontal="center" vertical="center"/>
    </xf>
    <xf numFmtId="3" fontId="10" fillId="10" borderId="22" xfId="0" applyNumberFormat="1" applyFont="1" applyFill="1" applyBorder="1" applyProtection="1">
      <alignment vertical="center"/>
      <protection hidden="1"/>
    </xf>
    <xf numFmtId="3" fontId="10" fillId="10" borderId="21" xfId="0" applyNumberFormat="1" applyFont="1" applyFill="1" applyBorder="1" applyProtection="1">
      <alignment vertical="center"/>
      <protection hidden="1"/>
    </xf>
    <xf numFmtId="0" fontId="10" fillId="10" borderId="19" xfId="0" applyFont="1" applyFill="1" applyBorder="1" applyAlignment="1">
      <alignment horizontal="center" vertical="center"/>
    </xf>
    <xf numFmtId="0" fontId="10" fillId="10" borderId="32" xfId="0" applyFont="1" applyFill="1" applyBorder="1" applyAlignment="1">
      <alignment horizontal="center" vertical="center"/>
    </xf>
    <xf numFmtId="3" fontId="10" fillId="10" borderId="24" xfId="0" applyNumberFormat="1" applyFont="1" applyFill="1" applyBorder="1" applyProtection="1">
      <alignment vertical="center"/>
      <protection hidden="1"/>
    </xf>
    <xf numFmtId="0" fontId="10" fillId="10" borderId="33" xfId="0" applyFont="1" applyFill="1" applyBorder="1" applyAlignment="1">
      <alignment horizontal="center" vertical="center"/>
    </xf>
    <xf numFmtId="3" fontId="10" fillId="10" borderId="34" xfId="0" applyNumberFormat="1" applyFont="1" applyFill="1" applyBorder="1" applyProtection="1">
      <alignment vertical="center"/>
      <protection hidden="1"/>
    </xf>
    <xf numFmtId="0" fontId="10" fillId="11" borderId="35" xfId="0" applyFont="1" applyFill="1" applyBorder="1" applyAlignment="1">
      <alignment horizontal="center" vertical="center"/>
    </xf>
    <xf numFmtId="0" fontId="10" fillId="11" borderId="36" xfId="0" applyFont="1" applyFill="1" applyBorder="1" applyAlignment="1">
      <alignment horizontal="center" vertical="center"/>
    </xf>
    <xf numFmtId="179" fontId="10" fillId="11" borderId="37" xfId="0" applyNumberFormat="1" applyFont="1" applyFill="1" applyBorder="1" applyProtection="1">
      <alignment vertical="center"/>
      <protection hidden="1"/>
    </xf>
    <xf numFmtId="179" fontId="10" fillId="11" borderId="38" xfId="0" applyNumberFormat="1" applyFont="1" applyFill="1" applyBorder="1" applyProtection="1">
      <alignment vertical="center"/>
      <protection hidden="1"/>
    </xf>
    <xf numFmtId="55" fontId="13" fillId="7" borderId="0" xfId="0" applyNumberFormat="1" applyFont="1" applyFill="1" applyProtection="1">
      <alignment vertical="center"/>
      <protection hidden="1"/>
    </xf>
    <xf numFmtId="10" fontId="10" fillId="0" borderId="4" xfId="0" applyNumberFormat="1" applyFont="1" applyFill="1" applyBorder="1" applyProtection="1">
      <alignment vertical="center"/>
      <protection locked="0"/>
    </xf>
    <xf numFmtId="178" fontId="10" fillId="0" borderId="29" xfId="0" applyNumberFormat="1" applyFont="1" applyFill="1" applyBorder="1" applyProtection="1">
      <alignment vertical="center"/>
      <protection locked="0"/>
    </xf>
    <xf numFmtId="178" fontId="10" fillId="0" borderId="34" xfId="0" applyNumberFormat="1" applyFont="1" applyFill="1" applyBorder="1" applyProtection="1">
      <alignment vertical="center"/>
      <protection locked="0"/>
    </xf>
    <xf numFmtId="9" fontId="10" fillId="0" borderId="4" xfId="0" applyNumberFormat="1" applyFont="1" applyFill="1" applyBorder="1" applyProtection="1">
      <alignment vertical="center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CCFF33"/>
      <color rgb="FF99CC00"/>
      <color rgb="FFFFFF99"/>
      <color rgb="FFCCFFCC"/>
      <color rgb="FFCCECFF"/>
      <color rgb="FF99FF66"/>
      <color rgb="FF000099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5" tint="-0.249977111117893"/>
  </sheetPr>
  <dimension ref="A1:S131"/>
  <sheetViews>
    <sheetView topLeftCell="C1" zoomScale="75" workbookViewId="0">
      <selection activeCell="K12" sqref="K12"/>
    </sheetView>
  </sheetViews>
  <sheetFormatPr defaultRowHeight="17.25"/>
  <cols>
    <col min="1" max="1" width="11.875" style="53" bestFit="1" customWidth="1"/>
    <col min="2" max="2" width="14.625" style="53" bestFit="1" customWidth="1"/>
    <col min="3" max="3" width="11.875" style="53" bestFit="1" customWidth="1"/>
    <col min="4" max="4" width="23" style="53" bestFit="1" customWidth="1"/>
    <col min="5" max="6" width="14.625" style="53" bestFit="1" customWidth="1"/>
    <col min="7" max="8" width="11.875" style="53" bestFit="1" customWidth="1"/>
    <col min="9" max="9" width="21.625" style="52" bestFit="1" customWidth="1"/>
    <col min="10" max="10" width="20.25" style="71" bestFit="1" customWidth="1"/>
    <col min="11" max="12" width="20.25" style="53" customWidth="1"/>
    <col min="13" max="13" width="16.125" style="53" bestFit="1" customWidth="1"/>
    <col min="14" max="14" width="18.875" style="53" bestFit="1" customWidth="1"/>
    <col min="15" max="16384" width="9" style="53"/>
  </cols>
  <sheetData>
    <row r="1" spans="1:19" ht="18" customHeight="1">
      <c r="A1" s="97" t="s">
        <v>39</v>
      </c>
      <c r="B1" s="97"/>
      <c r="C1" s="97"/>
      <c r="D1" s="97"/>
      <c r="E1" s="97"/>
      <c r="F1" s="97"/>
    </row>
    <row r="3" spans="1:19" ht="19.5" customHeight="1" thickBot="1">
      <c r="B3" s="54" t="s">
        <v>1</v>
      </c>
      <c r="C3" s="54" t="s">
        <v>2</v>
      </c>
      <c r="D3" s="55" t="s">
        <v>3</v>
      </c>
      <c r="E3" s="55" t="s">
        <v>6</v>
      </c>
      <c r="F3" s="54" t="s">
        <v>7</v>
      </c>
      <c r="G3" s="54" t="s">
        <v>8</v>
      </c>
      <c r="H3" s="54" t="s">
        <v>9</v>
      </c>
      <c r="I3" s="56" t="s">
        <v>10</v>
      </c>
      <c r="J3" s="72"/>
      <c r="K3" s="54"/>
      <c r="L3" s="54"/>
      <c r="M3" s="54"/>
      <c r="N3" s="54"/>
      <c r="O3" s="54"/>
      <c r="P3" s="54"/>
      <c r="Q3" s="54"/>
      <c r="R3" s="54"/>
      <c r="S3" s="54"/>
    </row>
    <row r="4" spans="1:19" ht="19.5" customHeight="1">
      <c r="A4" s="53" t="s">
        <v>28</v>
      </c>
      <c r="B4" s="57">
        <v>42461</v>
      </c>
      <c r="C4" s="53" t="s">
        <v>5</v>
      </c>
      <c r="D4" s="58">
        <v>47015815639</v>
      </c>
      <c r="E4" s="57">
        <f t="shared" ref="E4:E33" si="0">B4</f>
        <v>42461</v>
      </c>
      <c r="F4" s="57">
        <v>42825</v>
      </c>
      <c r="G4" s="68">
        <v>365</v>
      </c>
      <c r="H4" s="53">
        <v>365</v>
      </c>
      <c r="I4" s="52">
        <f t="shared" ref="I4:I33" si="1">ROUNDDOWN(D4/100,0)*100</f>
        <v>47015815600</v>
      </c>
      <c r="J4" s="71">
        <f t="shared" ref="J4:J33" si="2">ROUNDDOWN(I4*G4/H4,0)</f>
        <v>47015815600</v>
      </c>
    </row>
    <row r="5" spans="1:19" ht="19.5" customHeight="1">
      <c r="B5" s="57">
        <v>42461</v>
      </c>
      <c r="C5" s="53" t="s">
        <v>37</v>
      </c>
      <c r="D5" s="58">
        <v>-47015815639</v>
      </c>
      <c r="E5" s="57">
        <f t="shared" si="0"/>
        <v>42461</v>
      </c>
      <c r="F5" s="57">
        <v>42825</v>
      </c>
      <c r="G5" s="68">
        <f t="shared" ref="G5:G33" si="3">F5-B5+1</f>
        <v>365</v>
      </c>
      <c r="H5" s="53">
        <v>365</v>
      </c>
      <c r="I5" s="52">
        <f>ROUNDDOWN(D5/100,0)*100</f>
        <v>-47015815600</v>
      </c>
      <c r="J5" s="71">
        <f>ROUNDDOWN(I5*G5/H5,0)</f>
        <v>-47015815600</v>
      </c>
    </row>
    <row r="6" spans="1:19" ht="19.5" customHeight="1">
      <c r="B6" s="57">
        <v>42485</v>
      </c>
      <c r="C6" s="53" t="s">
        <v>4</v>
      </c>
      <c r="D6" s="58">
        <v>266549000</v>
      </c>
      <c r="E6" s="57">
        <f t="shared" si="0"/>
        <v>42485</v>
      </c>
      <c r="F6" s="57">
        <v>42825</v>
      </c>
      <c r="G6" s="68">
        <f t="shared" si="3"/>
        <v>341</v>
      </c>
      <c r="H6" s="53">
        <v>365</v>
      </c>
      <c r="I6" s="52">
        <f t="shared" si="1"/>
        <v>266549000</v>
      </c>
      <c r="J6" s="71">
        <f t="shared" si="2"/>
        <v>249022490</v>
      </c>
      <c r="K6" s="76"/>
      <c r="L6" s="81"/>
    </row>
    <row r="7" spans="1:19" ht="19.5" customHeight="1">
      <c r="B7" s="57">
        <v>42490</v>
      </c>
      <c r="C7" s="53" t="s">
        <v>0</v>
      </c>
      <c r="D7" s="58">
        <v>911073652</v>
      </c>
      <c r="E7" s="57">
        <f t="shared" si="0"/>
        <v>42490</v>
      </c>
      <c r="F7" s="57">
        <v>42825</v>
      </c>
      <c r="G7" s="68">
        <f t="shared" si="3"/>
        <v>336</v>
      </c>
      <c r="H7" s="53">
        <v>365</v>
      </c>
      <c r="I7" s="52">
        <f t="shared" si="1"/>
        <v>911073600</v>
      </c>
      <c r="J7" s="71">
        <f t="shared" si="2"/>
        <v>838686930</v>
      </c>
    </row>
    <row r="8" spans="1:19" ht="19.5" customHeight="1">
      <c r="B8" s="57">
        <v>42491</v>
      </c>
      <c r="C8" s="53" t="s">
        <v>37</v>
      </c>
      <c r="D8" s="58">
        <v>-356899681</v>
      </c>
      <c r="E8" s="57">
        <f t="shared" si="0"/>
        <v>42491</v>
      </c>
      <c r="F8" s="57">
        <v>42825</v>
      </c>
      <c r="G8" s="68">
        <f t="shared" si="3"/>
        <v>335</v>
      </c>
      <c r="H8" s="53">
        <v>365</v>
      </c>
      <c r="I8" s="52">
        <f t="shared" si="1"/>
        <v>-356899600</v>
      </c>
      <c r="J8" s="71">
        <f t="shared" si="2"/>
        <v>-327565386</v>
      </c>
      <c r="L8" s="87"/>
    </row>
    <row r="9" spans="1:19" ht="19.5" customHeight="1">
      <c r="B9" s="57">
        <v>42515</v>
      </c>
      <c r="C9" s="53" t="s">
        <v>4</v>
      </c>
      <c r="D9" s="58">
        <v>267786000</v>
      </c>
      <c r="E9" s="57">
        <f t="shared" si="0"/>
        <v>42515</v>
      </c>
      <c r="F9" s="57">
        <v>42825</v>
      </c>
      <c r="G9" s="68">
        <f t="shared" si="3"/>
        <v>311</v>
      </c>
      <c r="H9" s="53">
        <v>365</v>
      </c>
      <c r="I9" s="52">
        <f t="shared" si="1"/>
        <v>267786000</v>
      </c>
      <c r="J9" s="71">
        <f t="shared" si="2"/>
        <v>228168345</v>
      </c>
      <c r="K9" s="76"/>
      <c r="L9" s="81"/>
    </row>
    <row r="10" spans="1:19" ht="19.5" customHeight="1">
      <c r="B10" s="57">
        <v>42521</v>
      </c>
      <c r="C10" s="53" t="s">
        <v>0</v>
      </c>
      <c r="D10" s="58">
        <v>526583161</v>
      </c>
      <c r="E10" s="57">
        <f t="shared" si="0"/>
        <v>42521</v>
      </c>
      <c r="F10" s="57">
        <v>42825</v>
      </c>
      <c r="G10" s="68">
        <f t="shared" si="3"/>
        <v>305</v>
      </c>
      <c r="H10" s="53">
        <v>365</v>
      </c>
      <c r="I10" s="52">
        <f t="shared" si="1"/>
        <v>526583100</v>
      </c>
      <c r="J10" s="71">
        <f t="shared" si="2"/>
        <v>440021494</v>
      </c>
    </row>
    <row r="11" spans="1:19" ht="19.5" customHeight="1">
      <c r="B11" s="57">
        <v>42522</v>
      </c>
      <c r="C11" s="53" t="s">
        <v>37</v>
      </c>
      <c r="D11" s="58">
        <v>-489231212</v>
      </c>
      <c r="E11" s="57">
        <f t="shared" si="0"/>
        <v>42522</v>
      </c>
      <c r="F11" s="57">
        <v>42825</v>
      </c>
      <c r="G11" s="68">
        <f t="shared" si="3"/>
        <v>304</v>
      </c>
      <c r="H11" s="53">
        <v>365</v>
      </c>
      <c r="I11" s="52">
        <f t="shared" si="1"/>
        <v>-489231200</v>
      </c>
      <c r="J11" s="71">
        <f t="shared" si="2"/>
        <v>-407469273</v>
      </c>
    </row>
    <row r="12" spans="1:19" ht="19.5" customHeight="1">
      <c r="B12" s="57">
        <v>42546</v>
      </c>
      <c r="C12" s="53" t="s">
        <v>4</v>
      </c>
      <c r="D12" s="58">
        <v>270294000</v>
      </c>
      <c r="E12" s="57">
        <f t="shared" si="0"/>
        <v>42546</v>
      </c>
      <c r="F12" s="57">
        <v>42825</v>
      </c>
      <c r="G12" s="68">
        <f t="shared" si="3"/>
        <v>280</v>
      </c>
      <c r="H12" s="53">
        <v>365</v>
      </c>
      <c r="I12" s="52">
        <f t="shared" si="1"/>
        <v>270294000</v>
      </c>
      <c r="J12" s="71">
        <f t="shared" si="2"/>
        <v>207348821</v>
      </c>
    </row>
    <row r="13" spans="1:19" ht="19.5" customHeight="1">
      <c r="B13" s="57">
        <v>42551</v>
      </c>
      <c r="C13" s="53" t="s">
        <v>0</v>
      </c>
      <c r="D13" s="58">
        <v>202192364</v>
      </c>
      <c r="E13" s="57">
        <f t="shared" si="0"/>
        <v>42551</v>
      </c>
      <c r="F13" s="57">
        <v>42825</v>
      </c>
      <c r="G13" s="68">
        <f t="shared" si="3"/>
        <v>275</v>
      </c>
      <c r="H13" s="53">
        <v>365</v>
      </c>
      <c r="I13" s="52">
        <f t="shared" si="1"/>
        <v>202192300</v>
      </c>
      <c r="J13" s="71">
        <f t="shared" si="2"/>
        <v>152336664</v>
      </c>
    </row>
    <row r="14" spans="1:19" ht="19.5" customHeight="1">
      <c r="B14" s="57">
        <v>42552</v>
      </c>
      <c r="C14" s="53" t="s">
        <v>37</v>
      </c>
      <c r="D14" s="58">
        <v>-261942287</v>
      </c>
      <c r="E14" s="57">
        <f t="shared" si="0"/>
        <v>42552</v>
      </c>
      <c r="F14" s="57">
        <v>42825</v>
      </c>
      <c r="G14" s="68">
        <f t="shared" si="3"/>
        <v>274</v>
      </c>
      <c r="H14" s="53">
        <v>365</v>
      </c>
      <c r="I14" s="52">
        <f t="shared" si="1"/>
        <v>-261942200</v>
      </c>
      <c r="J14" s="71">
        <f t="shared" si="2"/>
        <v>-196636062</v>
      </c>
    </row>
    <row r="15" spans="1:19" ht="19.5" customHeight="1">
      <c r="B15" s="57">
        <v>42556</v>
      </c>
      <c r="C15" s="53" t="s">
        <v>38</v>
      </c>
      <c r="D15" s="58">
        <v>275425000</v>
      </c>
      <c r="E15" s="57">
        <f t="shared" si="0"/>
        <v>42556</v>
      </c>
      <c r="F15" s="57">
        <v>42825</v>
      </c>
      <c r="G15" s="68">
        <f t="shared" si="3"/>
        <v>270</v>
      </c>
      <c r="H15" s="53">
        <v>365</v>
      </c>
      <c r="I15" s="52">
        <f t="shared" si="1"/>
        <v>275425000</v>
      </c>
      <c r="J15" s="71">
        <f t="shared" si="2"/>
        <v>203739041</v>
      </c>
    </row>
    <row r="16" spans="1:19" ht="19.5" customHeight="1">
      <c r="B16" s="57">
        <v>42576</v>
      </c>
      <c r="C16" s="53" t="s">
        <v>4</v>
      </c>
      <c r="D16" s="58">
        <v>272011500</v>
      </c>
      <c r="E16" s="57">
        <f t="shared" si="0"/>
        <v>42576</v>
      </c>
      <c r="F16" s="57">
        <v>42825</v>
      </c>
      <c r="G16" s="68">
        <f t="shared" si="3"/>
        <v>250</v>
      </c>
      <c r="H16" s="53">
        <v>365</v>
      </c>
      <c r="I16" s="52">
        <f t="shared" si="1"/>
        <v>272011500</v>
      </c>
      <c r="J16" s="71">
        <f t="shared" si="2"/>
        <v>186309246</v>
      </c>
    </row>
    <row r="17" spans="2:12" ht="19.5" customHeight="1">
      <c r="B17" s="57">
        <v>42581</v>
      </c>
      <c r="C17" s="53" t="s">
        <v>0</v>
      </c>
      <c r="D17" s="58">
        <v>684940232</v>
      </c>
      <c r="E17" s="57">
        <f t="shared" si="0"/>
        <v>42581</v>
      </c>
      <c r="F17" s="57">
        <v>42825</v>
      </c>
      <c r="G17" s="68">
        <f t="shared" si="3"/>
        <v>245</v>
      </c>
      <c r="H17" s="53">
        <v>365</v>
      </c>
      <c r="I17" s="52">
        <f t="shared" si="1"/>
        <v>684940200</v>
      </c>
      <c r="J17" s="71">
        <f t="shared" si="2"/>
        <v>459754380</v>
      </c>
    </row>
    <row r="18" spans="2:12" ht="19.5" customHeight="1">
      <c r="B18" s="57">
        <v>42583</v>
      </c>
      <c r="C18" s="53" t="s">
        <v>37</v>
      </c>
      <c r="D18" s="58">
        <v>-325768085</v>
      </c>
      <c r="E18" s="57">
        <f t="shared" si="0"/>
        <v>42583</v>
      </c>
      <c r="F18" s="57">
        <v>42825</v>
      </c>
      <c r="G18" s="68">
        <f t="shared" si="3"/>
        <v>243</v>
      </c>
      <c r="H18" s="53">
        <v>365</v>
      </c>
      <c r="I18" s="52">
        <f t="shared" si="1"/>
        <v>-325768000</v>
      </c>
      <c r="J18" s="71">
        <f t="shared" si="2"/>
        <v>-216881161</v>
      </c>
    </row>
    <row r="19" spans="2:12" ht="19.5" customHeight="1">
      <c r="B19" s="57">
        <v>42607</v>
      </c>
      <c r="C19" s="53" t="s">
        <v>4</v>
      </c>
      <c r="D19" s="58">
        <v>273418500</v>
      </c>
      <c r="E19" s="57">
        <f t="shared" si="0"/>
        <v>42607</v>
      </c>
      <c r="F19" s="57">
        <v>42825</v>
      </c>
      <c r="G19" s="68">
        <f t="shared" si="3"/>
        <v>219</v>
      </c>
      <c r="H19" s="53">
        <v>365</v>
      </c>
      <c r="I19" s="52">
        <f t="shared" si="1"/>
        <v>273418500</v>
      </c>
      <c r="J19" s="71">
        <f t="shared" si="2"/>
        <v>164051100</v>
      </c>
    </row>
    <row r="20" spans="2:12" ht="19.5" customHeight="1">
      <c r="B20" s="57">
        <v>42612</v>
      </c>
      <c r="C20" s="53" t="s">
        <v>0</v>
      </c>
      <c r="D20" s="58">
        <v>322665000</v>
      </c>
      <c r="E20" s="57">
        <f t="shared" si="0"/>
        <v>42612</v>
      </c>
      <c r="F20" s="57">
        <v>42825</v>
      </c>
      <c r="G20" s="68">
        <f t="shared" si="3"/>
        <v>214</v>
      </c>
      <c r="H20" s="53">
        <v>365</v>
      </c>
      <c r="I20" s="52">
        <f t="shared" si="1"/>
        <v>322665000</v>
      </c>
      <c r="J20" s="71">
        <f t="shared" si="2"/>
        <v>189178931</v>
      </c>
    </row>
    <row r="21" spans="2:12" ht="19.5" customHeight="1">
      <c r="B21" s="57">
        <v>42614</v>
      </c>
      <c r="C21" s="53" t="s">
        <v>37</v>
      </c>
      <c r="D21" s="58">
        <v>-354163128</v>
      </c>
      <c r="E21" s="57">
        <f t="shared" si="0"/>
        <v>42614</v>
      </c>
      <c r="F21" s="57">
        <v>42825</v>
      </c>
      <c r="G21" s="68">
        <f t="shared" si="3"/>
        <v>212</v>
      </c>
      <c r="H21" s="53">
        <v>365</v>
      </c>
      <c r="I21" s="52">
        <f t="shared" si="1"/>
        <v>-354163100</v>
      </c>
      <c r="J21" s="71">
        <f t="shared" si="2"/>
        <v>-205705690</v>
      </c>
    </row>
    <row r="22" spans="2:12" ht="19.5" customHeight="1">
      <c r="B22" s="57">
        <v>42638</v>
      </c>
      <c r="C22" s="53" t="s">
        <v>4</v>
      </c>
      <c r="D22" s="58">
        <v>273827500</v>
      </c>
      <c r="E22" s="57">
        <f t="shared" si="0"/>
        <v>42638</v>
      </c>
      <c r="F22" s="57">
        <v>42825</v>
      </c>
      <c r="G22" s="68">
        <f t="shared" si="3"/>
        <v>188</v>
      </c>
      <c r="H22" s="53">
        <v>365</v>
      </c>
      <c r="I22" s="52">
        <f t="shared" si="1"/>
        <v>273827500</v>
      </c>
      <c r="J22" s="71">
        <f t="shared" si="2"/>
        <v>141039917</v>
      </c>
      <c r="K22" s="76"/>
      <c r="L22" s="81"/>
    </row>
    <row r="23" spans="2:12" ht="19.5" customHeight="1">
      <c r="B23" s="57">
        <v>42643</v>
      </c>
      <c r="C23" s="53" t="s">
        <v>0</v>
      </c>
      <c r="D23" s="58">
        <v>293471000</v>
      </c>
      <c r="E23" s="57">
        <f t="shared" si="0"/>
        <v>42643</v>
      </c>
      <c r="F23" s="57">
        <v>42825</v>
      </c>
      <c r="G23" s="68">
        <f t="shared" si="3"/>
        <v>183</v>
      </c>
      <c r="H23" s="53">
        <v>365</v>
      </c>
      <c r="I23" s="52">
        <f t="shared" si="1"/>
        <v>293471000</v>
      </c>
      <c r="J23" s="71">
        <f t="shared" si="2"/>
        <v>147137515</v>
      </c>
      <c r="K23" s="76"/>
      <c r="L23" s="52"/>
    </row>
    <row r="24" spans="2:12" ht="19.5" customHeight="1">
      <c r="B24" s="57">
        <v>42644</v>
      </c>
      <c r="C24" s="53" t="s">
        <v>37</v>
      </c>
      <c r="D24" s="58">
        <v>-385463653</v>
      </c>
      <c r="E24" s="57">
        <f t="shared" si="0"/>
        <v>42644</v>
      </c>
      <c r="F24" s="57">
        <v>42825</v>
      </c>
      <c r="G24" s="53">
        <f t="shared" si="3"/>
        <v>182</v>
      </c>
      <c r="H24" s="53">
        <v>365</v>
      </c>
      <c r="I24" s="52">
        <f t="shared" si="1"/>
        <v>-385463600</v>
      </c>
      <c r="J24" s="74">
        <f t="shared" si="2"/>
        <v>-192203767</v>
      </c>
      <c r="K24" s="52"/>
    </row>
    <row r="25" spans="2:12" ht="19.5" customHeight="1">
      <c r="B25" s="67">
        <v>42668</v>
      </c>
      <c r="C25" s="68" t="s">
        <v>4</v>
      </c>
      <c r="D25" s="69">
        <v>274352000</v>
      </c>
      <c r="E25" s="67">
        <f t="shared" si="0"/>
        <v>42668</v>
      </c>
      <c r="F25" s="57">
        <v>42825</v>
      </c>
      <c r="G25" s="68">
        <f t="shared" si="3"/>
        <v>158</v>
      </c>
      <c r="H25" s="53">
        <v>365</v>
      </c>
      <c r="I25" s="70">
        <f t="shared" si="1"/>
        <v>274352000</v>
      </c>
      <c r="J25" s="73">
        <f t="shared" si="2"/>
        <v>118760591</v>
      </c>
    </row>
    <row r="26" spans="2:12" ht="19.5" customHeight="1">
      <c r="B26" s="67">
        <v>42673</v>
      </c>
      <c r="C26" s="68" t="s">
        <v>0</v>
      </c>
      <c r="D26" s="69">
        <v>276446706</v>
      </c>
      <c r="E26" s="67">
        <f t="shared" si="0"/>
        <v>42673</v>
      </c>
      <c r="F26" s="57">
        <v>42825</v>
      </c>
      <c r="G26" s="68">
        <f t="shared" si="3"/>
        <v>153</v>
      </c>
      <c r="H26" s="53">
        <v>365</v>
      </c>
      <c r="I26" s="70">
        <f t="shared" si="1"/>
        <v>276446700</v>
      </c>
      <c r="J26" s="73">
        <f t="shared" si="2"/>
        <v>115880397</v>
      </c>
    </row>
    <row r="27" spans="2:12" ht="19.5" customHeight="1">
      <c r="B27" s="67">
        <v>42675</v>
      </c>
      <c r="C27" s="68" t="s">
        <v>37</v>
      </c>
      <c r="D27" s="69">
        <v>-319825727</v>
      </c>
      <c r="E27" s="67">
        <f t="shared" si="0"/>
        <v>42675</v>
      </c>
      <c r="F27" s="57">
        <v>42825</v>
      </c>
      <c r="G27" s="68">
        <f t="shared" si="3"/>
        <v>151</v>
      </c>
      <c r="H27" s="53">
        <v>365</v>
      </c>
      <c r="I27" s="70">
        <f t="shared" si="1"/>
        <v>-319825700</v>
      </c>
      <c r="J27" s="73">
        <f t="shared" si="2"/>
        <v>-132311453</v>
      </c>
    </row>
    <row r="28" spans="2:12" ht="19.5" customHeight="1">
      <c r="B28" s="67">
        <v>42699</v>
      </c>
      <c r="C28" s="68" t="s">
        <v>4</v>
      </c>
      <c r="D28" s="69">
        <v>275360000</v>
      </c>
      <c r="E28" s="67">
        <f t="shared" si="0"/>
        <v>42699</v>
      </c>
      <c r="F28" s="57">
        <v>42825</v>
      </c>
      <c r="G28" s="68">
        <f t="shared" si="3"/>
        <v>127</v>
      </c>
      <c r="H28" s="53">
        <v>365</v>
      </c>
      <c r="I28" s="70">
        <f t="shared" si="1"/>
        <v>275360000</v>
      </c>
      <c r="J28" s="73">
        <f t="shared" si="2"/>
        <v>95810191</v>
      </c>
    </row>
    <row r="29" spans="2:12" ht="19.5" customHeight="1">
      <c r="B29" s="67">
        <v>42704</v>
      </c>
      <c r="C29" s="68" t="s">
        <v>0</v>
      </c>
      <c r="D29" s="69">
        <v>149050000</v>
      </c>
      <c r="E29" s="67">
        <f t="shared" si="0"/>
        <v>42704</v>
      </c>
      <c r="F29" s="57">
        <v>42825</v>
      </c>
      <c r="G29" s="68">
        <f t="shared" si="3"/>
        <v>122</v>
      </c>
      <c r="H29" s="53">
        <v>365</v>
      </c>
      <c r="I29" s="70">
        <f t="shared" si="1"/>
        <v>149050000</v>
      </c>
      <c r="J29" s="73">
        <f t="shared" si="2"/>
        <v>49819452</v>
      </c>
    </row>
    <row r="30" spans="2:12" ht="19.5" customHeight="1">
      <c r="B30" s="67">
        <v>42705</v>
      </c>
      <c r="C30" s="68" t="s">
        <v>37</v>
      </c>
      <c r="D30" s="69">
        <v>-253578184</v>
      </c>
      <c r="E30" s="67">
        <f t="shared" si="0"/>
        <v>42705</v>
      </c>
      <c r="F30" s="57">
        <v>42825</v>
      </c>
      <c r="G30" s="68">
        <f t="shared" si="3"/>
        <v>121</v>
      </c>
      <c r="H30" s="53">
        <v>365</v>
      </c>
      <c r="I30" s="70">
        <f t="shared" si="1"/>
        <v>-253578100</v>
      </c>
      <c r="J30" s="73">
        <f t="shared" si="2"/>
        <v>-84062876</v>
      </c>
      <c r="L30" s="76"/>
    </row>
    <row r="31" spans="2:12" ht="19.5" customHeight="1">
      <c r="B31" s="67">
        <v>42719</v>
      </c>
      <c r="C31" s="68" t="s">
        <v>38</v>
      </c>
      <c r="D31" s="69">
        <v>301374000</v>
      </c>
      <c r="E31" s="67">
        <f t="shared" si="0"/>
        <v>42719</v>
      </c>
      <c r="F31" s="57">
        <v>42825</v>
      </c>
      <c r="G31" s="68">
        <f t="shared" si="3"/>
        <v>107</v>
      </c>
      <c r="H31" s="53">
        <v>365</v>
      </c>
      <c r="I31" s="70">
        <f t="shared" si="1"/>
        <v>301374000</v>
      </c>
      <c r="J31" s="73">
        <f t="shared" si="2"/>
        <v>88347994</v>
      </c>
      <c r="L31" s="71"/>
    </row>
    <row r="32" spans="2:12" ht="19.5" customHeight="1">
      <c r="B32" s="67">
        <v>42729</v>
      </c>
      <c r="C32" s="68" t="s">
        <v>4</v>
      </c>
      <c r="D32" s="69">
        <v>275344000</v>
      </c>
      <c r="E32" s="67">
        <f t="shared" si="0"/>
        <v>42729</v>
      </c>
      <c r="F32" s="57">
        <v>42825</v>
      </c>
      <c r="G32" s="68">
        <f t="shared" si="3"/>
        <v>97</v>
      </c>
      <c r="H32" s="53">
        <v>365</v>
      </c>
      <c r="I32" s="70">
        <f t="shared" si="1"/>
        <v>275344000</v>
      </c>
      <c r="J32" s="73">
        <f t="shared" si="2"/>
        <v>73173610</v>
      </c>
      <c r="L32" s="74"/>
    </row>
    <row r="33" spans="1:14" ht="19.5" customHeight="1">
      <c r="B33" s="67">
        <v>42734</v>
      </c>
      <c r="C33" s="68" t="s">
        <v>0</v>
      </c>
      <c r="D33" s="69">
        <v>299054000</v>
      </c>
      <c r="E33" s="67">
        <f t="shared" si="0"/>
        <v>42734</v>
      </c>
      <c r="F33" s="57">
        <v>42825</v>
      </c>
      <c r="G33" s="68">
        <f t="shared" si="3"/>
        <v>92</v>
      </c>
      <c r="H33" s="53">
        <v>365</v>
      </c>
      <c r="I33" s="70">
        <f t="shared" si="1"/>
        <v>299054000</v>
      </c>
      <c r="J33" s="73">
        <f t="shared" si="2"/>
        <v>75377994</v>
      </c>
      <c r="K33" s="76"/>
      <c r="L33" s="76"/>
    </row>
    <row r="34" spans="1:14" ht="19.5" customHeight="1">
      <c r="B34" s="67">
        <v>42736</v>
      </c>
      <c r="C34" s="68" t="s">
        <v>37</v>
      </c>
      <c r="D34" s="69">
        <v>-305833725</v>
      </c>
      <c r="E34" s="67">
        <f t="shared" ref="E34:E42" si="4">B34</f>
        <v>42736</v>
      </c>
      <c r="F34" s="57">
        <v>42825</v>
      </c>
      <c r="G34" s="68">
        <f t="shared" ref="G34:G42" si="5">F34-B34+1</f>
        <v>90</v>
      </c>
      <c r="H34" s="53">
        <v>365</v>
      </c>
      <c r="I34" s="70">
        <f t="shared" ref="I34:I42" si="6">ROUNDDOWN(D34/100,0)*100</f>
        <v>-305833700</v>
      </c>
      <c r="J34" s="73">
        <f t="shared" ref="J34:J42" si="7">ROUNDDOWN(I34*G34/H34,0)</f>
        <v>-75411049</v>
      </c>
    </row>
    <row r="35" spans="1:14" ht="19.5" customHeight="1">
      <c r="B35" s="67">
        <v>42760</v>
      </c>
      <c r="C35" s="68" t="s">
        <v>4</v>
      </c>
      <c r="D35" s="69">
        <v>276423000</v>
      </c>
      <c r="E35" s="67">
        <f t="shared" si="4"/>
        <v>42760</v>
      </c>
      <c r="F35" s="57">
        <v>42825</v>
      </c>
      <c r="G35" s="68">
        <f t="shared" si="5"/>
        <v>66</v>
      </c>
      <c r="H35" s="53">
        <v>365</v>
      </c>
      <c r="I35" s="70">
        <f t="shared" si="6"/>
        <v>276423000</v>
      </c>
      <c r="J35" s="73">
        <f t="shared" si="7"/>
        <v>49983336</v>
      </c>
    </row>
    <row r="36" spans="1:14" ht="19.5" customHeight="1">
      <c r="B36" s="67">
        <v>42765</v>
      </c>
      <c r="C36" s="68" t="s">
        <v>0</v>
      </c>
      <c r="D36" s="69">
        <v>261400000</v>
      </c>
      <c r="E36" s="67">
        <f t="shared" si="4"/>
        <v>42765</v>
      </c>
      <c r="F36" s="57">
        <v>42825</v>
      </c>
      <c r="G36" s="68">
        <f t="shared" si="5"/>
        <v>61</v>
      </c>
      <c r="H36" s="53">
        <v>365</v>
      </c>
      <c r="I36" s="70">
        <f t="shared" si="6"/>
        <v>261400000</v>
      </c>
      <c r="J36" s="73">
        <f t="shared" si="7"/>
        <v>43686027</v>
      </c>
    </row>
    <row r="37" spans="1:14" ht="19.5" customHeight="1">
      <c r="B37" s="67">
        <v>42767</v>
      </c>
      <c r="C37" s="68" t="s">
        <v>37</v>
      </c>
      <c r="D37" s="69">
        <v>-434000000</v>
      </c>
      <c r="E37" s="67">
        <f t="shared" si="4"/>
        <v>42767</v>
      </c>
      <c r="F37" s="57">
        <v>42825</v>
      </c>
      <c r="G37" s="68">
        <f t="shared" si="5"/>
        <v>59</v>
      </c>
      <c r="H37" s="53">
        <v>365</v>
      </c>
      <c r="I37" s="70">
        <f t="shared" si="6"/>
        <v>-434000000</v>
      </c>
      <c r="J37" s="73">
        <f t="shared" si="7"/>
        <v>-70153424</v>
      </c>
      <c r="K37" s="75"/>
      <c r="L37" s="71"/>
    </row>
    <row r="38" spans="1:14" ht="19.5" customHeight="1">
      <c r="B38" s="67">
        <v>42791</v>
      </c>
      <c r="C38" s="68" t="s">
        <v>4</v>
      </c>
      <c r="D38" s="69">
        <v>276800000</v>
      </c>
      <c r="E38" s="67">
        <f t="shared" si="4"/>
        <v>42791</v>
      </c>
      <c r="F38" s="57">
        <v>42825</v>
      </c>
      <c r="G38" s="68">
        <f t="shared" si="5"/>
        <v>35</v>
      </c>
      <c r="H38" s="53">
        <v>365</v>
      </c>
      <c r="I38" s="70">
        <f t="shared" si="6"/>
        <v>276800000</v>
      </c>
      <c r="J38" s="73">
        <f t="shared" si="7"/>
        <v>26542465</v>
      </c>
      <c r="L38" s="52"/>
    </row>
    <row r="39" spans="1:14" ht="19.5" customHeight="1">
      <c r="B39" s="85">
        <v>42794</v>
      </c>
      <c r="C39" s="68" t="s">
        <v>0</v>
      </c>
      <c r="D39" s="69">
        <v>286800000</v>
      </c>
      <c r="E39" s="67">
        <f t="shared" si="4"/>
        <v>42794</v>
      </c>
      <c r="F39" s="57">
        <v>42825</v>
      </c>
      <c r="G39" s="68">
        <f t="shared" si="5"/>
        <v>32</v>
      </c>
      <c r="H39" s="53">
        <v>365</v>
      </c>
      <c r="I39" s="70">
        <f t="shared" si="6"/>
        <v>286800000</v>
      </c>
      <c r="J39" s="73">
        <f t="shared" si="7"/>
        <v>25144109</v>
      </c>
      <c r="K39" s="76"/>
      <c r="L39" s="71"/>
    </row>
    <row r="40" spans="1:14" ht="19.5" customHeight="1" thickBot="1">
      <c r="B40" s="67">
        <v>42795</v>
      </c>
      <c r="C40" s="68" t="s">
        <v>0</v>
      </c>
      <c r="D40" s="69">
        <v>316600000</v>
      </c>
      <c r="E40" s="67">
        <f t="shared" si="4"/>
        <v>42795</v>
      </c>
      <c r="F40" s="57">
        <v>42825</v>
      </c>
      <c r="G40" s="68">
        <f t="shared" si="5"/>
        <v>31</v>
      </c>
      <c r="H40" s="53">
        <v>365</v>
      </c>
      <c r="I40" s="70">
        <f t="shared" si="6"/>
        <v>316600000</v>
      </c>
      <c r="J40" s="73">
        <f t="shared" si="7"/>
        <v>26889315</v>
      </c>
    </row>
    <row r="41" spans="1:14" ht="19.5" customHeight="1" thickBot="1">
      <c r="B41" s="67">
        <v>42819</v>
      </c>
      <c r="C41" s="68" t="s">
        <v>4</v>
      </c>
      <c r="D41" s="69">
        <v>277000000</v>
      </c>
      <c r="E41" s="67">
        <f t="shared" si="4"/>
        <v>42819</v>
      </c>
      <c r="F41" s="57">
        <v>42825</v>
      </c>
      <c r="G41" s="68">
        <f t="shared" si="5"/>
        <v>7</v>
      </c>
      <c r="H41" s="53">
        <v>365</v>
      </c>
      <c r="I41" s="70">
        <f t="shared" si="6"/>
        <v>277000000</v>
      </c>
      <c r="J41" s="73">
        <f t="shared" si="7"/>
        <v>5312328</v>
      </c>
      <c r="K41" s="94" t="s">
        <v>15</v>
      </c>
      <c r="L41" s="95"/>
      <c r="M41" s="95"/>
      <c r="N41" s="96"/>
    </row>
    <row r="42" spans="1:14" ht="19.5" customHeight="1">
      <c r="B42" s="67">
        <v>42824</v>
      </c>
      <c r="C42" s="68" t="s">
        <v>37</v>
      </c>
      <c r="D42" s="69">
        <v>-2114216000</v>
      </c>
      <c r="E42" s="67">
        <f t="shared" si="4"/>
        <v>42824</v>
      </c>
      <c r="F42" s="57">
        <v>42825</v>
      </c>
      <c r="G42" s="68">
        <f t="shared" si="5"/>
        <v>2</v>
      </c>
      <c r="H42" s="53">
        <v>365</v>
      </c>
      <c r="I42" s="70">
        <f t="shared" si="6"/>
        <v>-2114216000</v>
      </c>
      <c r="J42" s="73">
        <f t="shared" si="7"/>
        <v>-11584745</v>
      </c>
      <c r="K42" s="59" t="s">
        <v>11</v>
      </c>
      <c r="L42" s="60" t="s">
        <v>12</v>
      </c>
      <c r="M42" s="60" t="s">
        <v>13</v>
      </c>
      <c r="N42" s="61" t="s">
        <v>14</v>
      </c>
    </row>
    <row r="43" spans="1:14" ht="19.5" customHeight="1" thickBot="1">
      <c r="B43" s="57"/>
      <c r="D43" s="58">
        <f>SUM(D4:D42)</f>
        <v>2785318933</v>
      </c>
      <c r="E43" s="57"/>
      <c r="F43" s="57"/>
      <c r="I43" s="52">
        <f>SUM(I4:I42)</f>
        <v>2785319200</v>
      </c>
      <c r="J43" s="71">
        <f>SUM(J4:J42)</f>
        <v>2481537797</v>
      </c>
      <c r="K43" s="92">
        <f>ROUNDDOWN(J43*1.6/100,0)</f>
        <v>39704604</v>
      </c>
      <c r="L43" s="56">
        <f>ROUNDDOWN(K43*0.15315,0)</f>
        <v>6080760</v>
      </c>
      <c r="M43" s="56">
        <f>ROUNDDOWN(K43*0.05,0)</f>
        <v>1985230</v>
      </c>
      <c r="N43" s="64">
        <f>K43-L43-M43</f>
        <v>31638614</v>
      </c>
    </row>
    <row r="44" spans="1:14" ht="19.5" customHeight="1">
      <c r="B44" s="57"/>
      <c r="D44" s="58"/>
      <c r="E44" s="57"/>
      <c r="F44" s="57"/>
      <c r="L44" s="53" t="s">
        <v>16</v>
      </c>
    </row>
    <row r="45" spans="1:14" ht="19.5" customHeight="1">
      <c r="B45" s="57"/>
      <c r="D45" s="58"/>
      <c r="E45" s="57"/>
      <c r="F45" s="57"/>
    </row>
    <row r="46" spans="1:14" ht="19.5" customHeight="1">
      <c r="A46" s="53" t="s">
        <v>29</v>
      </c>
      <c r="B46" s="57">
        <v>42826</v>
      </c>
      <c r="C46" s="53" t="s">
        <v>5</v>
      </c>
      <c r="D46" s="58">
        <f>D44+N44</f>
        <v>0</v>
      </c>
      <c r="E46" s="57">
        <f t="shared" ref="E46:E58" si="8">B46</f>
        <v>42826</v>
      </c>
      <c r="F46" s="57">
        <v>43190</v>
      </c>
      <c r="G46" s="53">
        <f t="shared" ref="G46:G58" si="9">F46-B46+1</f>
        <v>365</v>
      </c>
      <c r="H46" s="53">
        <v>365</v>
      </c>
      <c r="I46" s="52">
        <f t="shared" ref="I46:I58" si="10">ROUNDDOWN(D46/100,0)*100</f>
        <v>0</v>
      </c>
      <c r="J46" s="71">
        <f t="shared" ref="J46:J58" si="11">ROUNDDOWN(I46*G46/H46,0)</f>
        <v>0</v>
      </c>
    </row>
    <row r="47" spans="1:14" ht="19.5" customHeight="1">
      <c r="B47" s="57">
        <v>42850</v>
      </c>
      <c r="C47" s="53" t="s">
        <v>4</v>
      </c>
      <c r="D47" s="58">
        <v>0</v>
      </c>
      <c r="E47" s="57">
        <f t="shared" si="8"/>
        <v>42850</v>
      </c>
      <c r="F47" s="57">
        <v>43190</v>
      </c>
      <c r="G47" s="53">
        <f t="shared" si="9"/>
        <v>341</v>
      </c>
      <c r="H47" s="53">
        <v>365</v>
      </c>
      <c r="I47" s="52">
        <f t="shared" si="10"/>
        <v>0</v>
      </c>
      <c r="J47" s="71">
        <f t="shared" si="11"/>
        <v>0</v>
      </c>
    </row>
    <row r="48" spans="1:14" ht="19.5" customHeight="1">
      <c r="B48" s="57">
        <v>42880</v>
      </c>
      <c r="C48" s="53" t="s">
        <v>4</v>
      </c>
      <c r="D48" s="58">
        <v>0</v>
      </c>
      <c r="E48" s="57">
        <f t="shared" si="8"/>
        <v>42880</v>
      </c>
      <c r="F48" s="57">
        <v>43190</v>
      </c>
      <c r="G48" s="53">
        <f t="shared" si="9"/>
        <v>311</v>
      </c>
      <c r="H48" s="53">
        <v>365</v>
      </c>
      <c r="I48" s="52">
        <f t="shared" si="10"/>
        <v>0</v>
      </c>
      <c r="J48" s="71">
        <f t="shared" si="11"/>
        <v>0</v>
      </c>
    </row>
    <row r="49" spans="1:14" ht="19.5" customHeight="1">
      <c r="B49" s="57">
        <v>42911</v>
      </c>
      <c r="C49" s="53" t="s">
        <v>4</v>
      </c>
      <c r="D49" s="58">
        <v>0</v>
      </c>
      <c r="E49" s="57">
        <f t="shared" si="8"/>
        <v>42911</v>
      </c>
      <c r="F49" s="57">
        <v>43190</v>
      </c>
      <c r="G49" s="53">
        <f t="shared" si="9"/>
        <v>280</v>
      </c>
      <c r="H49" s="53">
        <v>365</v>
      </c>
      <c r="I49" s="52">
        <f t="shared" si="10"/>
        <v>0</v>
      </c>
      <c r="J49" s="71">
        <f t="shared" si="11"/>
        <v>0</v>
      </c>
    </row>
    <row r="50" spans="1:14" ht="19.5" customHeight="1">
      <c r="B50" s="57">
        <v>42941</v>
      </c>
      <c r="C50" s="53" t="s">
        <v>4</v>
      </c>
      <c r="D50" s="58">
        <v>0</v>
      </c>
      <c r="E50" s="57">
        <f t="shared" si="8"/>
        <v>42941</v>
      </c>
      <c r="F50" s="57">
        <v>43190</v>
      </c>
      <c r="G50" s="53">
        <f t="shared" si="9"/>
        <v>250</v>
      </c>
      <c r="H50" s="53">
        <v>365</v>
      </c>
      <c r="I50" s="52">
        <f t="shared" si="10"/>
        <v>0</v>
      </c>
      <c r="J50" s="71">
        <f t="shared" si="11"/>
        <v>0</v>
      </c>
    </row>
    <row r="51" spans="1:14" ht="19.5" customHeight="1">
      <c r="B51" s="57">
        <v>42972</v>
      </c>
      <c r="C51" s="53" t="s">
        <v>4</v>
      </c>
      <c r="D51" s="58">
        <v>0</v>
      </c>
      <c r="E51" s="57">
        <f t="shared" si="8"/>
        <v>42972</v>
      </c>
      <c r="F51" s="57">
        <v>43190</v>
      </c>
      <c r="G51" s="53">
        <f t="shared" si="9"/>
        <v>219</v>
      </c>
      <c r="H51" s="53">
        <v>365</v>
      </c>
      <c r="I51" s="52">
        <f t="shared" si="10"/>
        <v>0</v>
      </c>
      <c r="J51" s="71">
        <f t="shared" si="11"/>
        <v>0</v>
      </c>
    </row>
    <row r="52" spans="1:14" ht="19.5" customHeight="1">
      <c r="B52" s="57">
        <v>43003</v>
      </c>
      <c r="C52" s="53" t="s">
        <v>4</v>
      </c>
      <c r="D52" s="58">
        <v>0</v>
      </c>
      <c r="E52" s="57">
        <f t="shared" si="8"/>
        <v>43003</v>
      </c>
      <c r="F52" s="57">
        <v>43190</v>
      </c>
      <c r="G52" s="53">
        <f t="shared" si="9"/>
        <v>188</v>
      </c>
      <c r="H52" s="53">
        <v>365</v>
      </c>
      <c r="I52" s="52">
        <f t="shared" si="10"/>
        <v>0</v>
      </c>
      <c r="J52" s="71">
        <f t="shared" si="11"/>
        <v>0</v>
      </c>
    </row>
    <row r="53" spans="1:14" ht="19.5" customHeight="1">
      <c r="B53" s="57">
        <v>43033</v>
      </c>
      <c r="C53" s="53" t="s">
        <v>4</v>
      </c>
      <c r="D53" s="58">
        <v>0</v>
      </c>
      <c r="E53" s="57">
        <f t="shared" si="8"/>
        <v>43033</v>
      </c>
      <c r="F53" s="57">
        <v>43190</v>
      </c>
      <c r="G53" s="53">
        <f t="shared" si="9"/>
        <v>158</v>
      </c>
      <c r="H53" s="53">
        <v>365</v>
      </c>
      <c r="I53" s="52">
        <f t="shared" si="10"/>
        <v>0</v>
      </c>
      <c r="J53" s="71">
        <f t="shared" si="11"/>
        <v>0</v>
      </c>
    </row>
    <row r="54" spans="1:14" ht="19.5" customHeight="1">
      <c r="B54" s="57">
        <v>43064</v>
      </c>
      <c r="C54" s="53" t="s">
        <v>4</v>
      </c>
      <c r="D54" s="58">
        <v>0</v>
      </c>
      <c r="E54" s="57">
        <f t="shared" si="8"/>
        <v>43064</v>
      </c>
      <c r="F54" s="57">
        <v>43190</v>
      </c>
      <c r="G54" s="53">
        <f t="shared" si="9"/>
        <v>127</v>
      </c>
      <c r="H54" s="53">
        <v>365</v>
      </c>
      <c r="I54" s="52">
        <f t="shared" si="10"/>
        <v>0</v>
      </c>
      <c r="J54" s="71">
        <f t="shared" si="11"/>
        <v>0</v>
      </c>
    </row>
    <row r="55" spans="1:14" ht="19.5" customHeight="1" thickBot="1">
      <c r="B55" s="57">
        <v>43094</v>
      </c>
      <c r="C55" s="53" t="s">
        <v>4</v>
      </c>
      <c r="D55" s="58">
        <v>0</v>
      </c>
      <c r="E55" s="57">
        <f t="shared" si="8"/>
        <v>43094</v>
      </c>
      <c r="F55" s="57">
        <v>43190</v>
      </c>
      <c r="G55" s="53">
        <f t="shared" si="9"/>
        <v>97</v>
      </c>
      <c r="H55" s="53">
        <v>365</v>
      </c>
      <c r="I55" s="52">
        <f t="shared" si="10"/>
        <v>0</v>
      </c>
      <c r="J55" s="71">
        <f t="shared" si="11"/>
        <v>0</v>
      </c>
    </row>
    <row r="56" spans="1:14" ht="19.5" customHeight="1" thickBot="1">
      <c r="B56" s="57">
        <v>43125</v>
      </c>
      <c r="C56" s="53" t="s">
        <v>4</v>
      </c>
      <c r="D56" s="58">
        <v>0</v>
      </c>
      <c r="E56" s="57">
        <f t="shared" si="8"/>
        <v>43125</v>
      </c>
      <c r="F56" s="57">
        <v>43190</v>
      </c>
      <c r="G56" s="53">
        <f t="shared" si="9"/>
        <v>66</v>
      </c>
      <c r="H56" s="53">
        <v>365</v>
      </c>
      <c r="I56" s="52">
        <f t="shared" si="10"/>
        <v>0</v>
      </c>
      <c r="J56" s="71">
        <f t="shared" si="11"/>
        <v>0</v>
      </c>
      <c r="K56" s="94" t="s">
        <v>15</v>
      </c>
      <c r="L56" s="95"/>
      <c r="M56" s="95"/>
      <c r="N56" s="96"/>
    </row>
    <row r="57" spans="1:14" ht="19.5" customHeight="1">
      <c r="B57" s="57">
        <v>43156</v>
      </c>
      <c r="C57" s="53" t="s">
        <v>4</v>
      </c>
      <c r="D57" s="58">
        <v>0</v>
      </c>
      <c r="E57" s="57">
        <f t="shared" si="8"/>
        <v>43156</v>
      </c>
      <c r="F57" s="57">
        <v>43190</v>
      </c>
      <c r="G57" s="53">
        <f t="shared" si="9"/>
        <v>35</v>
      </c>
      <c r="H57" s="53">
        <v>365</v>
      </c>
      <c r="I57" s="52">
        <f t="shared" si="10"/>
        <v>0</v>
      </c>
      <c r="J57" s="71">
        <f t="shared" si="11"/>
        <v>0</v>
      </c>
      <c r="K57" s="59" t="s">
        <v>11</v>
      </c>
      <c r="L57" s="60" t="s">
        <v>12</v>
      </c>
      <c r="M57" s="60" t="s">
        <v>13</v>
      </c>
      <c r="N57" s="61" t="s">
        <v>14</v>
      </c>
    </row>
    <row r="58" spans="1:14" ht="19.5" customHeight="1" thickBot="1">
      <c r="B58" s="57">
        <v>43184</v>
      </c>
      <c r="C58" s="53" t="s">
        <v>4</v>
      </c>
      <c r="D58" s="58">
        <v>0</v>
      </c>
      <c r="E58" s="57">
        <f t="shared" si="8"/>
        <v>43184</v>
      </c>
      <c r="F58" s="57">
        <v>43190</v>
      </c>
      <c r="G58" s="53">
        <f t="shared" si="9"/>
        <v>7</v>
      </c>
      <c r="H58" s="53">
        <v>365</v>
      </c>
      <c r="I58" s="52">
        <f t="shared" si="10"/>
        <v>0</v>
      </c>
      <c r="J58" s="71">
        <f t="shared" si="11"/>
        <v>0</v>
      </c>
      <c r="K58" s="62">
        <f>ROUNDDOWN(J59*1.6/100,0)</f>
        <v>0</v>
      </c>
      <c r="L58" s="63">
        <f>ROUNDDOWN(K58*0.15315,0)</f>
        <v>0</v>
      </c>
      <c r="M58" s="56">
        <f>ROUNDDOWN(K58*0.05,0)</f>
        <v>0</v>
      </c>
      <c r="N58" s="64">
        <f>K58-L58-M58</f>
        <v>0</v>
      </c>
    </row>
    <row r="59" spans="1:14" ht="19.5" customHeight="1">
      <c r="D59" s="58">
        <f>SUM(D46:D58)</f>
        <v>0</v>
      </c>
      <c r="J59" s="71">
        <f>SUM(J46:J58)</f>
        <v>0</v>
      </c>
      <c r="L59" s="53" t="s">
        <v>16</v>
      </c>
    </row>
    <row r="60" spans="1:14" ht="19.5" customHeight="1">
      <c r="D60" s="58"/>
    </row>
    <row r="61" spans="1:14" ht="19.5" customHeight="1">
      <c r="A61" s="53" t="s">
        <v>30</v>
      </c>
      <c r="B61" s="57">
        <v>43191</v>
      </c>
      <c r="C61" s="53" t="s">
        <v>5</v>
      </c>
      <c r="D61" s="58">
        <f>D59+N58</f>
        <v>0</v>
      </c>
      <c r="E61" s="57">
        <f t="shared" ref="E61:E73" si="12">B61</f>
        <v>43191</v>
      </c>
      <c r="F61" s="57">
        <v>43555</v>
      </c>
      <c r="G61" s="53">
        <f t="shared" ref="G61:G73" si="13">F61-B61+1</f>
        <v>365</v>
      </c>
      <c r="H61" s="53">
        <v>365</v>
      </c>
      <c r="I61" s="52">
        <f t="shared" ref="I61:I73" si="14">ROUNDDOWN(D61/100,0)*100</f>
        <v>0</v>
      </c>
      <c r="J61" s="71">
        <f t="shared" ref="J61:J73" si="15">ROUNDDOWN(I61*G61/H61,0)</f>
        <v>0</v>
      </c>
    </row>
    <row r="62" spans="1:14" ht="19.5" customHeight="1">
      <c r="B62" s="57">
        <v>43215</v>
      </c>
      <c r="C62" s="53" t="s">
        <v>4</v>
      </c>
      <c r="D62" s="58">
        <v>0</v>
      </c>
      <c r="E62" s="57">
        <f t="shared" si="12"/>
        <v>43215</v>
      </c>
      <c r="F62" s="57">
        <v>43555</v>
      </c>
      <c r="G62" s="53">
        <f t="shared" si="13"/>
        <v>341</v>
      </c>
      <c r="H62" s="53">
        <v>365</v>
      </c>
      <c r="I62" s="52">
        <f t="shared" si="14"/>
        <v>0</v>
      </c>
      <c r="J62" s="71">
        <f t="shared" si="15"/>
        <v>0</v>
      </c>
    </row>
    <row r="63" spans="1:14" ht="19.5" customHeight="1">
      <c r="B63" s="57">
        <v>43245</v>
      </c>
      <c r="C63" s="53" t="s">
        <v>4</v>
      </c>
      <c r="D63" s="58">
        <v>0</v>
      </c>
      <c r="E63" s="57">
        <f t="shared" si="12"/>
        <v>43245</v>
      </c>
      <c r="F63" s="57">
        <v>43555</v>
      </c>
      <c r="G63" s="53">
        <f t="shared" si="13"/>
        <v>311</v>
      </c>
      <c r="H63" s="53">
        <v>365</v>
      </c>
      <c r="I63" s="52">
        <f t="shared" si="14"/>
        <v>0</v>
      </c>
      <c r="J63" s="71">
        <f t="shared" si="15"/>
        <v>0</v>
      </c>
    </row>
    <row r="64" spans="1:14" ht="19.5" customHeight="1">
      <c r="B64" s="57">
        <v>43276</v>
      </c>
      <c r="C64" s="53" t="s">
        <v>4</v>
      </c>
      <c r="D64" s="58">
        <v>0</v>
      </c>
      <c r="E64" s="57">
        <f t="shared" si="12"/>
        <v>43276</v>
      </c>
      <c r="F64" s="57">
        <v>43555</v>
      </c>
      <c r="G64" s="53">
        <f t="shared" si="13"/>
        <v>280</v>
      </c>
      <c r="H64" s="53">
        <v>365</v>
      </c>
      <c r="I64" s="52">
        <f t="shared" si="14"/>
        <v>0</v>
      </c>
      <c r="J64" s="71">
        <f t="shared" si="15"/>
        <v>0</v>
      </c>
    </row>
    <row r="65" spans="1:14" ht="19.5" customHeight="1">
      <c r="B65" s="57">
        <v>43306</v>
      </c>
      <c r="C65" s="53" t="s">
        <v>4</v>
      </c>
      <c r="D65" s="58">
        <v>0</v>
      </c>
      <c r="E65" s="57">
        <f t="shared" si="12"/>
        <v>43306</v>
      </c>
      <c r="F65" s="57">
        <v>43555</v>
      </c>
      <c r="G65" s="53">
        <f t="shared" si="13"/>
        <v>250</v>
      </c>
      <c r="H65" s="53">
        <v>365</v>
      </c>
      <c r="I65" s="52">
        <f t="shared" si="14"/>
        <v>0</v>
      </c>
      <c r="J65" s="71">
        <f t="shared" si="15"/>
        <v>0</v>
      </c>
    </row>
    <row r="66" spans="1:14" ht="19.5" customHeight="1">
      <c r="B66" s="57">
        <v>43337</v>
      </c>
      <c r="C66" s="53" t="s">
        <v>4</v>
      </c>
      <c r="D66" s="58">
        <v>0</v>
      </c>
      <c r="E66" s="57">
        <f t="shared" si="12"/>
        <v>43337</v>
      </c>
      <c r="F66" s="57">
        <v>43555</v>
      </c>
      <c r="G66" s="53">
        <f t="shared" si="13"/>
        <v>219</v>
      </c>
      <c r="H66" s="53">
        <v>365</v>
      </c>
      <c r="I66" s="52">
        <f t="shared" si="14"/>
        <v>0</v>
      </c>
      <c r="J66" s="71">
        <f t="shared" si="15"/>
        <v>0</v>
      </c>
    </row>
    <row r="67" spans="1:14" ht="19.5" customHeight="1" thickBot="1">
      <c r="B67" s="57">
        <v>43368</v>
      </c>
      <c r="C67" s="53" t="s">
        <v>4</v>
      </c>
      <c r="D67" s="58">
        <v>0</v>
      </c>
      <c r="E67" s="57">
        <f t="shared" si="12"/>
        <v>43368</v>
      </c>
      <c r="F67" s="57">
        <v>43555</v>
      </c>
      <c r="G67" s="53">
        <f t="shared" si="13"/>
        <v>188</v>
      </c>
      <c r="H67" s="53">
        <v>365</v>
      </c>
      <c r="I67" s="52">
        <f t="shared" si="14"/>
        <v>0</v>
      </c>
      <c r="J67" s="71">
        <f t="shared" si="15"/>
        <v>0</v>
      </c>
    </row>
    <row r="68" spans="1:14" ht="19.5" customHeight="1" thickBot="1">
      <c r="B68" s="57">
        <v>43398</v>
      </c>
      <c r="C68" s="53" t="s">
        <v>4</v>
      </c>
      <c r="D68" s="58">
        <v>0</v>
      </c>
      <c r="E68" s="57">
        <f t="shared" si="12"/>
        <v>43398</v>
      </c>
      <c r="F68" s="57">
        <v>43555</v>
      </c>
      <c r="G68" s="53">
        <f t="shared" si="13"/>
        <v>158</v>
      </c>
      <c r="H68" s="53">
        <v>365</v>
      </c>
      <c r="I68" s="52">
        <f t="shared" si="14"/>
        <v>0</v>
      </c>
      <c r="J68" s="71">
        <f t="shared" si="15"/>
        <v>0</v>
      </c>
      <c r="K68" s="94" t="s">
        <v>15</v>
      </c>
      <c r="L68" s="95"/>
      <c r="M68" s="95"/>
      <c r="N68" s="96"/>
    </row>
    <row r="69" spans="1:14" ht="19.5" customHeight="1">
      <c r="B69" s="57">
        <v>43429</v>
      </c>
      <c r="C69" s="53" t="s">
        <v>4</v>
      </c>
      <c r="D69" s="58">
        <v>0</v>
      </c>
      <c r="E69" s="57">
        <f t="shared" si="12"/>
        <v>43429</v>
      </c>
      <c r="F69" s="57">
        <v>43555</v>
      </c>
      <c r="G69" s="53">
        <f t="shared" si="13"/>
        <v>127</v>
      </c>
      <c r="H69" s="53">
        <v>365</v>
      </c>
      <c r="I69" s="52">
        <f t="shared" si="14"/>
        <v>0</v>
      </c>
      <c r="J69" s="71">
        <f t="shared" si="15"/>
        <v>0</v>
      </c>
      <c r="K69" s="59" t="s">
        <v>11</v>
      </c>
      <c r="L69" s="60" t="s">
        <v>12</v>
      </c>
      <c r="M69" s="60" t="s">
        <v>13</v>
      </c>
      <c r="N69" s="61" t="s">
        <v>14</v>
      </c>
    </row>
    <row r="70" spans="1:14" ht="19.5" customHeight="1" thickBot="1">
      <c r="B70" s="57">
        <v>43459</v>
      </c>
      <c r="C70" s="53" t="s">
        <v>4</v>
      </c>
      <c r="D70" s="58">
        <v>0</v>
      </c>
      <c r="E70" s="57">
        <f t="shared" si="12"/>
        <v>43459</v>
      </c>
      <c r="F70" s="57">
        <v>43555</v>
      </c>
      <c r="G70" s="53">
        <f t="shared" si="13"/>
        <v>97</v>
      </c>
      <c r="H70" s="53">
        <v>365</v>
      </c>
      <c r="I70" s="52">
        <f t="shared" si="14"/>
        <v>0</v>
      </c>
      <c r="J70" s="71">
        <f t="shared" si="15"/>
        <v>0</v>
      </c>
      <c r="K70" s="62">
        <f>ROUNDDOWN(J74*1.6/100,0)</f>
        <v>0</v>
      </c>
      <c r="L70" s="63">
        <f>ROUNDDOWN(K70*0.15315,0)</f>
        <v>0</v>
      </c>
      <c r="M70" s="56">
        <f>ROUNDDOWN(K70*0.05,0)</f>
        <v>0</v>
      </c>
      <c r="N70" s="64">
        <f>K70-L70-M70</f>
        <v>0</v>
      </c>
    </row>
    <row r="71" spans="1:14" ht="19.5" customHeight="1">
      <c r="B71" s="57">
        <v>43490</v>
      </c>
      <c r="C71" s="53" t="s">
        <v>4</v>
      </c>
      <c r="D71" s="58">
        <v>0</v>
      </c>
      <c r="E71" s="57">
        <f t="shared" si="12"/>
        <v>43490</v>
      </c>
      <c r="F71" s="57">
        <v>43555</v>
      </c>
      <c r="G71" s="53">
        <f t="shared" si="13"/>
        <v>66</v>
      </c>
      <c r="H71" s="53">
        <v>365</v>
      </c>
      <c r="I71" s="52">
        <f t="shared" si="14"/>
        <v>0</v>
      </c>
      <c r="J71" s="71">
        <f t="shared" si="15"/>
        <v>0</v>
      </c>
      <c r="L71" s="53" t="s">
        <v>16</v>
      </c>
    </row>
    <row r="72" spans="1:14" ht="19.5" customHeight="1">
      <c r="B72" s="57">
        <v>43521</v>
      </c>
      <c r="C72" s="53" t="s">
        <v>4</v>
      </c>
      <c r="D72" s="58">
        <v>0</v>
      </c>
      <c r="E72" s="57">
        <f t="shared" si="12"/>
        <v>43521</v>
      </c>
      <c r="F72" s="57">
        <v>43555</v>
      </c>
      <c r="G72" s="53">
        <f t="shared" si="13"/>
        <v>35</v>
      </c>
      <c r="H72" s="53">
        <v>365</v>
      </c>
      <c r="I72" s="52">
        <f t="shared" si="14"/>
        <v>0</v>
      </c>
      <c r="J72" s="71">
        <f t="shared" si="15"/>
        <v>0</v>
      </c>
    </row>
    <row r="73" spans="1:14" ht="19.5" customHeight="1">
      <c r="B73" s="57">
        <v>43549</v>
      </c>
      <c r="C73" s="53" t="s">
        <v>4</v>
      </c>
      <c r="D73" s="58">
        <v>0</v>
      </c>
      <c r="E73" s="57">
        <f t="shared" si="12"/>
        <v>43549</v>
      </c>
      <c r="F73" s="57">
        <v>43555</v>
      </c>
      <c r="G73" s="53">
        <f t="shared" si="13"/>
        <v>7</v>
      </c>
      <c r="H73" s="53">
        <v>365</v>
      </c>
      <c r="I73" s="52">
        <f t="shared" si="14"/>
        <v>0</v>
      </c>
      <c r="J73" s="71">
        <f t="shared" si="15"/>
        <v>0</v>
      </c>
    </row>
    <row r="74" spans="1:14" ht="19.5" customHeight="1">
      <c r="D74" s="58">
        <f>SUM(D61:D73)</f>
        <v>0</v>
      </c>
      <c r="J74" s="71">
        <f>SUM(J61:J73)</f>
        <v>0</v>
      </c>
    </row>
    <row r="75" spans="1:14" ht="19.5" customHeight="1">
      <c r="A75" s="53" t="s">
        <v>31</v>
      </c>
      <c r="B75" s="57">
        <v>43556</v>
      </c>
      <c r="C75" s="53" t="s">
        <v>5</v>
      </c>
      <c r="D75" s="58">
        <f>D59+N58</f>
        <v>0</v>
      </c>
      <c r="E75" s="57">
        <f t="shared" ref="E75:E87" si="16">B75</f>
        <v>43556</v>
      </c>
      <c r="F75" s="57">
        <v>43921</v>
      </c>
      <c r="G75" s="53">
        <f t="shared" ref="G75:G87" si="17">F75-B75+1</f>
        <v>366</v>
      </c>
      <c r="H75" s="65">
        <v>366</v>
      </c>
      <c r="I75" s="52">
        <f t="shared" ref="I75:I87" si="18">ROUNDDOWN(D75/100,0)*100</f>
        <v>0</v>
      </c>
      <c r="J75" s="71">
        <f t="shared" ref="J75:J87" si="19">ROUNDDOWN(I75*G75/H75,0)</f>
        <v>0</v>
      </c>
    </row>
    <row r="76" spans="1:14" ht="19.5" customHeight="1">
      <c r="B76" s="57">
        <v>43580</v>
      </c>
      <c r="C76" s="53" t="s">
        <v>4</v>
      </c>
      <c r="D76" s="58">
        <f>D75+N71</f>
        <v>0</v>
      </c>
      <c r="E76" s="57">
        <f t="shared" si="16"/>
        <v>43580</v>
      </c>
      <c r="F76" s="57">
        <v>43921</v>
      </c>
      <c r="G76" s="53">
        <f t="shared" si="17"/>
        <v>342</v>
      </c>
      <c r="H76" s="65">
        <v>366</v>
      </c>
      <c r="I76" s="52">
        <f t="shared" si="18"/>
        <v>0</v>
      </c>
      <c r="J76" s="71">
        <f t="shared" si="19"/>
        <v>0</v>
      </c>
    </row>
    <row r="77" spans="1:14" ht="19.5" customHeight="1">
      <c r="B77" s="57">
        <v>43610</v>
      </c>
      <c r="C77" s="53" t="s">
        <v>4</v>
      </c>
      <c r="D77" s="58">
        <f>D76+N72</f>
        <v>0</v>
      </c>
      <c r="E77" s="57">
        <f t="shared" si="16"/>
        <v>43610</v>
      </c>
      <c r="F77" s="57">
        <v>43921</v>
      </c>
      <c r="G77" s="53">
        <f t="shared" si="17"/>
        <v>312</v>
      </c>
      <c r="H77" s="65">
        <v>366</v>
      </c>
      <c r="I77" s="52">
        <f t="shared" si="18"/>
        <v>0</v>
      </c>
      <c r="J77" s="71">
        <f t="shared" si="19"/>
        <v>0</v>
      </c>
      <c r="K77" s="98" t="s">
        <v>32</v>
      </c>
      <c r="L77" s="98"/>
      <c r="M77" s="98"/>
      <c r="N77" s="98"/>
    </row>
    <row r="78" spans="1:14" ht="19.5" customHeight="1">
      <c r="B78" s="57">
        <v>43641</v>
      </c>
      <c r="C78" s="53" t="s">
        <v>4</v>
      </c>
      <c r="D78" s="58">
        <f>D77+N77</f>
        <v>0</v>
      </c>
      <c r="E78" s="57">
        <f t="shared" si="16"/>
        <v>43641</v>
      </c>
      <c r="F78" s="57">
        <v>43921</v>
      </c>
      <c r="G78" s="53">
        <f t="shared" si="17"/>
        <v>281</v>
      </c>
      <c r="H78" s="65">
        <v>366</v>
      </c>
      <c r="I78" s="52">
        <f t="shared" si="18"/>
        <v>0</v>
      </c>
      <c r="J78" s="71">
        <f t="shared" si="19"/>
        <v>0</v>
      </c>
    </row>
    <row r="79" spans="1:14" ht="19.5" customHeight="1">
      <c r="B79" s="57">
        <v>43671</v>
      </c>
      <c r="C79" s="53" t="s">
        <v>4</v>
      </c>
      <c r="D79" s="58">
        <f>D78+N74</f>
        <v>0</v>
      </c>
      <c r="E79" s="57">
        <f t="shared" si="16"/>
        <v>43671</v>
      </c>
      <c r="F79" s="57">
        <v>43921</v>
      </c>
      <c r="G79" s="53">
        <f t="shared" si="17"/>
        <v>251</v>
      </c>
      <c r="H79" s="65">
        <v>366</v>
      </c>
      <c r="I79" s="52">
        <f t="shared" si="18"/>
        <v>0</v>
      </c>
      <c r="J79" s="71">
        <f t="shared" si="19"/>
        <v>0</v>
      </c>
    </row>
    <row r="80" spans="1:14" ht="19.5" customHeight="1">
      <c r="B80" s="57">
        <v>43702</v>
      </c>
      <c r="C80" s="53" t="s">
        <v>4</v>
      </c>
      <c r="D80" s="58">
        <f>D79+N75</f>
        <v>0</v>
      </c>
      <c r="E80" s="57">
        <f t="shared" si="16"/>
        <v>43702</v>
      </c>
      <c r="F80" s="57">
        <v>43921</v>
      </c>
      <c r="G80" s="53">
        <f t="shared" si="17"/>
        <v>220</v>
      </c>
      <c r="H80" s="65">
        <v>366</v>
      </c>
      <c r="I80" s="52">
        <f t="shared" si="18"/>
        <v>0</v>
      </c>
      <c r="J80" s="71">
        <f t="shared" si="19"/>
        <v>0</v>
      </c>
    </row>
    <row r="81" spans="1:14" ht="19.5" customHeight="1" thickBot="1">
      <c r="B81" s="57">
        <v>43733</v>
      </c>
      <c r="C81" s="53" t="s">
        <v>4</v>
      </c>
      <c r="D81" s="58">
        <f>D80+N76</f>
        <v>0</v>
      </c>
      <c r="E81" s="57">
        <f t="shared" si="16"/>
        <v>43733</v>
      </c>
      <c r="F81" s="57">
        <v>43921</v>
      </c>
      <c r="G81" s="53">
        <f t="shared" si="17"/>
        <v>189</v>
      </c>
      <c r="H81" s="65">
        <v>366</v>
      </c>
      <c r="I81" s="52">
        <f t="shared" si="18"/>
        <v>0</v>
      </c>
      <c r="J81" s="71">
        <f t="shared" si="19"/>
        <v>0</v>
      </c>
    </row>
    <row r="82" spans="1:14" ht="19.5" customHeight="1" thickBot="1">
      <c r="B82" s="57">
        <v>43763</v>
      </c>
      <c r="C82" s="53" t="s">
        <v>4</v>
      </c>
      <c r="D82" s="58">
        <v>0</v>
      </c>
      <c r="E82" s="57">
        <f t="shared" si="16"/>
        <v>43763</v>
      </c>
      <c r="F82" s="57">
        <v>43921</v>
      </c>
      <c r="G82" s="53">
        <f t="shared" si="17"/>
        <v>159</v>
      </c>
      <c r="H82" s="65">
        <v>366</v>
      </c>
      <c r="I82" s="52">
        <f t="shared" si="18"/>
        <v>0</v>
      </c>
      <c r="J82" s="71">
        <f t="shared" si="19"/>
        <v>0</v>
      </c>
      <c r="K82" s="94" t="s">
        <v>15</v>
      </c>
      <c r="L82" s="95"/>
      <c r="M82" s="95"/>
      <c r="N82" s="96"/>
    </row>
    <row r="83" spans="1:14" ht="19.5" customHeight="1">
      <c r="B83" s="57">
        <v>43794</v>
      </c>
      <c r="C83" s="53" t="s">
        <v>4</v>
      </c>
      <c r="D83" s="58">
        <v>0</v>
      </c>
      <c r="E83" s="57">
        <f t="shared" si="16"/>
        <v>43794</v>
      </c>
      <c r="F83" s="57">
        <v>43921</v>
      </c>
      <c r="G83" s="53">
        <f t="shared" si="17"/>
        <v>128</v>
      </c>
      <c r="H83" s="65">
        <v>366</v>
      </c>
      <c r="I83" s="52">
        <f t="shared" si="18"/>
        <v>0</v>
      </c>
      <c r="J83" s="71">
        <f t="shared" si="19"/>
        <v>0</v>
      </c>
      <c r="K83" s="59" t="s">
        <v>11</v>
      </c>
      <c r="L83" s="60" t="s">
        <v>12</v>
      </c>
      <c r="M83" s="60" t="s">
        <v>13</v>
      </c>
      <c r="N83" s="61" t="s">
        <v>14</v>
      </c>
    </row>
    <row r="84" spans="1:14" ht="19.5" customHeight="1" thickBot="1">
      <c r="B84" s="57">
        <v>43824</v>
      </c>
      <c r="C84" s="53" t="s">
        <v>4</v>
      </c>
      <c r="D84" s="58">
        <v>0</v>
      </c>
      <c r="E84" s="57">
        <f t="shared" si="16"/>
        <v>43824</v>
      </c>
      <c r="F84" s="57">
        <v>43921</v>
      </c>
      <c r="G84" s="53">
        <f t="shared" si="17"/>
        <v>98</v>
      </c>
      <c r="H84" s="65">
        <v>366</v>
      </c>
      <c r="I84" s="52">
        <f t="shared" si="18"/>
        <v>0</v>
      </c>
      <c r="J84" s="71">
        <f t="shared" si="19"/>
        <v>0</v>
      </c>
      <c r="K84" s="62">
        <f>ROUNDDOWN(J88*1.6/100,0)</f>
        <v>0</v>
      </c>
      <c r="L84" s="63">
        <f>ROUNDDOWN(K84*0.15315,0)</f>
        <v>0</v>
      </c>
      <c r="M84" s="56">
        <f>ROUNDDOWN(K84*0.05,0)</f>
        <v>0</v>
      </c>
      <c r="N84" s="64">
        <f>K84-L84-M84</f>
        <v>0</v>
      </c>
    </row>
    <row r="85" spans="1:14" ht="19.5" customHeight="1">
      <c r="B85" s="57">
        <v>43855</v>
      </c>
      <c r="C85" s="53" t="s">
        <v>4</v>
      </c>
      <c r="D85" s="58">
        <v>0</v>
      </c>
      <c r="E85" s="57">
        <f t="shared" si="16"/>
        <v>43855</v>
      </c>
      <c r="F85" s="57">
        <v>43921</v>
      </c>
      <c r="G85" s="53">
        <f t="shared" si="17"/>
        <v>67</v>
      </c>
      <c r="H85" s="65">
        <v>366</v>
      </c>
      <c r="I85" s="52">
        <f t="shared" si="18"/>
        <v>0</v>
      </c>
      <c r="J85" s="71">
        <f t="shared" si="19"/>
        <v>0</v>
      </c>
      <c r="L85" s="53" t="s">
        <v>16</v>
      </c>
    </row>
    <row r="86" spans="1:14" ht="19.5" customHeight="1">
      <c r="B86" s="57">
        <v>43886</v>
      </c>
      <c r="C86" s="53" t="s">
        <v>4</v>
      </c>
      <c r="D86" s="58">
        <v>0</v>
      </c>
      <c r="E86" s="57">
        <f t="shared" si="16"/>
        <v>43886</v>
      </c>
      <c r="F86" s="57">
        <v>43921</v>
      </c>
      <c r="G86" s="65">
        <f t="shared" si="17"/>
        <v>36</v>
      </c>
      <c r="H86" s="65">
        <v>366</v>
      </c>
      <c r="I86" s="52">
        <f t="shared" si="18"/>
        <v>0</v>
      </c>
      <c r="J86" s="71">
        <f t="shared" si="19"/>
        <v>0</v>
      </c>
    </row>
    <row r="87" spans="1:14" ht="19.5" customHeight="1">
      <c r="B87" s="57">
        <v>43915</v>
      </c>
      <c r="C87" s="53" t="s">
        <v>4</v>
      </c>
      <c r="D87" s="58">
        <v>0</v>
      </c>
      <c r="E87" s="57">
        <f t="shared" si="16"/>
        <v>43915</v>
      </c>
      <c r="F87" s="57">
        <v>43921</v>
      </c>
      <c r="G87" s="53">
        <f t="shared" si="17"/>
        <v>7</v>
      </c>
      <c r="H87" s="65">
        <v>366</v>
      </c>
      <c r="I87" s="52">
        <f t="shared" si="18"/>
        <v>0</v>
      </c>
      <c r="J87" s="71">
        <f t="shared" si="19"/>
        <v>0</v>
      </c>
    </row>
    <row r="88" spans="1:14" ht="19.5" customHeight="1">
      <c r="D88" s="58">
        <f>SUM(D75:D87)</f>
        <v>0</v>
      </c>
      <c r="J88" s="71">
        <f>SUM(J75:J87)</f>
        <v>0</v>
      </c>
    </row>
    <row r="89" spans="1:14" ht="19.5" customHeight="1">
      <c r="A89" s="53" t="s">
        <v>33</v>
      </c>
      <c r="B89" s="57">
        <v>43922</v>
      </c>
      <c r="C89" s="53" t="s">
        <v>5</v>
      </c>
      <c r="D89" s="58">
        <f>D88+N84</f>
        <v>0</v>
      </c>
      <c r="E89" s="57">
        <f t="shared" ref="E89:E101" si="20">B89</f>
        <v>43922</v>
      </c>
      <c r="F89" s="57">
        <v>44286</v>
      </c>
      <c r="G89" s="53">
        <f t="shared" ref="G89:G101" si="21">F89-B89+1</f>
        <v>365</v>
      </c>
      <c r="H89" s="53">
        <v>365</v>
      </c>
      <c r="I89" s="52">
        <f t="shared" ref="I89:I101" si="22">ROUNDDOWN(D89/100,0)*100</f>
        <v>0</v>
      </c>
      <c r="J89" s="71">
        <f t="shared" ref="J89:J101" si="23">ROUNDDOWN(I89*G89/H89,0)</f>
        <v>0</v>
      </c>
    </row>
    <row r="90" spans="1:14" ht="19.5" customHeight="1">
      <c r="B90" s="57">
        <v>43946</v>
      </c>
      <c r="C90" s="53" t="s">
        <v>4</v>
      </c>
      <c r="D90" s="58">
        <v>0</v>
      </c>
      <c r="E90" s="57">
        <f t="shared" si="20"/>
        <v>43946</v>
      </c>
      <c r="F90" s="57">
        <v>44286</v>
      </c>
      <c r="G90" s="53">
        <f t="shared" si="21"/>
        <v>341</v>
      </c>
      <c r="H90" s="53">
        <v>365</v>
      </c>
      <c r="I90" s="52">
        <f t="shared" si="22"/>
        <v>0</v>
      </c>
      <c r="J90" s="71">
        <f t="shared" si="23"/>
        <v>0</v>
      </c>
    </row>
    <row r="91" spans="1:14" ht="19.5" customHeight="1">
      <c r="B91" s="57">
        <v>43976</v>
      </c>
      <c r="C91" s="53" t="s">
        <v>4</v>
      </c>
      <c r="D91" s="58">
        <v>0</v>
      </c>
      <c r="E91" s="57">
        <f t="shared" si="20"/>
        <v>43976</v>
      </c>
      <c r="F91" s="57">
        <v>44286</v>
      </c>
      <c r="G91" s="53">
        <f t="shared" si="21"/>
        <v>311</v>
      </c>
      <c r="H91" s="53">
        <v>365</v>
      </c>
      <c r="I91" s="52">
        <f t="shared" si="22"/>
        <v>0</v>
      </c>
      <c r="J91" s="71">
        <f t="shared" si="23"/>
        <v>0</v>
      </c>
    </row>
    <row r="92" spans="1:14" ht="19.5" customHeight="1">
      <c r="B92" s="57">
        <v>44007</v>
      </c>
      <c r="C92" s="53" t="s">
        <v>4</v>
      </c>
      <c r="D92" s="58">
        <v>0</v>
      </c>
      <c r="E92" s="57">
        <f t="shared" si="20"/>
        <v>44007</v>
      </c>
      <c r="F92" s="57">
        <v>44286</v>
      </c>
      <c r="G92" s="53">
        <f t="shared" si="21"/>
        <v>280</v>
      </c>
      <c r="H92" s="53">
        <v>365</v>
      </c>
      <c r="I92" s="52">
        <f t="shared" si="22"/>
        <v>0</v>
      </c>
      <c r="J92" s="71">
        <f t="shared" si="23"/>
        <v>0</v>
      </c>
    </row>
    <row r="93" spans="1:14" ht="19.5" customHeight="1">
      <c r="B93" s="57">
        <v>44037</v>
      </c>
      <c r="C93" s="53" t="s">
        <v>4</v>
      </c>
      <c r="D93" s="58"/>
      <c r="E93" s="57">
        <f t="shared" si="20"/>
        <v>44037</v>
      </c>
      <c r="F93" s="57">
        <v>44286</v>
      </c>
      <c r="G93" s="53">
        <f t="shared" si="21"/>
        <v>250</v>
      </c>
      <c r="H93" s="53">
        <v>365</v>
      </c>
      <c r="I93" s="52">
        <f t="shared" si="22"/>
        <v>0</v>
      </c>
      <c r="J93" s="71">
        <f t="shared" si="23"/>
        <v>0</v>
      </c>
    </row>
    <row r="94" spans="1:14" ht="19.5" customHeight="1">
      <c r="B94" s="57">
        <v>44068</v>
      </c>
      <c r="C94" s="53" t="s">
        <v>4</v>
      </c>
      <c r="D94" s="58"/>
      <c r="E94" s="57">
        <f t="shared" si="20"/>
        <v>44068</v>
      </c>
      <c r="F94" s="57">
        <v>44286</v>
      </c>
      <c r="G94" s="53">
        <f t="shared" si="21"/>
        <v>219</v>
      </c>
      <c r="H94" s="53">
        <v>365</v>
      </c>
      <c r="I94" s="52">
        <f t="shared" si="22"/>
        <v>0</v>
      </c>
      <c r="J94" s="71">
        <f t="shared" si="23"/>
        <v>0</v>
      </c>
    </row>
    <row r="95" spans="1:14" ht="19.5" customHeight="1" thickBot="1">
      <c r="B95" s="57">
        <v>44099</v>
      </c>
      <c r="C95" s="53" t="s">
        <v>4</v>
      </c>
      <c r="D95" s="58">
        <v>0</v>
      </c>
      <c r="E95" s="57">
        <f t="shared" si="20"/>
        <v>44099</v>
      </c>
      <c r="F95" s="57">
        <v>44286</v>
      </c>
      <c r="G95" s="53">
        <f t="shared" si="21"/>
        <v>188</v>
      </c>
      <c r="H95" s="53">
        <v>365</v>
      </c>
      <c r="I95" s="52">
        <f t="shared" si="22"/>
        <v>0</v>
      </c>
      <c r="J95" s="71">
        <f t="shared" si="23"/>
        <v>0</v>
      </c>
    </row>
    <row r="96" spans="1:14" ht="19.5" customHeight="1" thickBot="1">
      <c r="B96" s="57">
        <v>44129</v>
      </c>
      <c r="C96" s="53" t="s">
        <v>4</v>
      </c>
      <c r="D96" s="58">
        <v>0</v>
      </c>
      <c r="E96" s="57">
        <f t="shared" si="20"/>
        <v>44129</v>
      </c>
      <c r="F96" s="57">
        <v>44286</v>
      </c>
      <c r="G96" s="53">
        <f t="shared" si="21"/>
        <v>158</v>
      </c>
      <c r="H96" s="53">
        <v>365</v>
      </c>
      <c r="I96" s="52">
        <f t="shared" si="22"/>
        <v>0</v>
      </c>
      <c r="J96" s="71">
        <f t="shared" si="23"/>
        <v>0</v>
      </c>
      <c r="K96" s="94" t="s">
        <v>15</v>
      </c>
      <c r="L96" s="95"/>
      <c r="M96" s="95"/>
      <c r="N96" s="96"/>
    </row>
    <row r="97" spans="1:14" ht="19.5" customHeight="1">
      <c r="B97" s="57">
        <v>44160</v>
      </c>
      <c r="C97" s="53" t="s">
        <v>4</v>
      </c>
      <c r="D97" s="58">
        <v>0</v>
      </c>
      <c r="E97" s="57">
        <f t="shared" si="20"/>
        <v>44160</v>
      </c>
      <c r="F97" s="57">
        <v>44286</v>
      </c>
      <c r="G97" s="53">
        <f t="shared" si="21"/>
        <v>127</v>
      </c>
      <c r="H97" s="53">
        <v>365</v>
      </c>
      <c r="I97" s="52">
        <f t="shared" si="22"/>
        <v>0</v>
      </c>
      <c r="J97" s="71">
        <f t="shared" si="23"/>
        <v>0</v>
      </c>
      <c r="K97" s="59" t="s">
        <v>11</v>
      </c>
      <c r="L97" s="60" t="s">
        <v>12</v>
      </c>
      <c r="M97" s="60" t="s">
        <v>13</v>
      </c>
      <c r="N97" s="61" t="s">
        <v>14</v>
      </c>
    </row>
    <row r="98" spans="1:14" ht="19.5" customHeight="1" thickBot="1">
      <c r="B98" s="57">
        <v>44190</v>
      </c>
      <c r="C98" s="53" t="s">
        <v>4</v>
      </c>
      <c r="D98" s="58">
        <v>0</v>
      </c>
      <c r="E98" s="57">
        <f t="shared" si="20"/>
        <v>44190</v>
      </c>
      <c r="F98" s="57">
        <v>44286</v>
      </c>
      <c r="G98" s="53">
        <f t="shared" si="21"/>
        <v>97</v>
      </c>
      <c r="H98" s="53">
        <v>365</v>
      </c>
      <c r="I98" s="52">
        <f t="shared" si="22"/>
        <v>0</v>
      </c>
      <c r="J98" s="71">
        <f t="shared" si="23"/>
        <v>0</v>
      </c>
      <c r="K98" s="62">
        <f>ROUNDDOWN(J102*1.6/100,0)</f>
        <v>0</v>
      </c>
      <c r="L98" s="63">
        <f>ROUNDDOWN(K98*0.15315,0)</f>
        <v>0</v>
      </c>
      <c r="M98" s="56">
        <f>ROUNDDOWN(K98*0.05,0)</f>
        <v>0</v>
      </c>
      <c r="N98" s="64">
        <f>K98-L98-M98</f>
        <v>0</v>
      </c>
    </row>
    <row r="99" spans="1:14" ht="19.5" customHeight="1">
      <c r="B99" s="57">
        <v>44221</v>
      </c>
      <c r="C99" s="53" t="s">
        <v>4</v>
      </c>
      <c r="D99" s="58">
        <v>0</v>
      </c>
      <c r="E99" s="57">
        <f t="shared" si="20"/>
        <v>44221</v>
      </c>
      <c r="F99" s="57">
        <v>44286</v>
      </c>
      <c r="G99" s="53">
        <f t="shared" si="21"/>
        <v>66</v>
      </c>
      <c r="H99" s="53">
        <v>365</v>
      </c>
      <c r="I99" s="52">
        <f t="shared" si="22"/>
        <v>0</v>
      </c>
      <c r="J99" s="71">
        <f t="shared" si="23"/>
        <v>0</v>
      </c>
      <c r="L99" s="53" t="s">
        <v>16</v>
      </c>
    </row>
    <row r="100" spans="1:14" ht="19.5" customHeight="1">
      <c r="B100" s="57">
        <v>44252</v>
      </c>
      <c r="C100" s="53" t="s">
        <v>4</v>
      </c>
      <c r="D100" s="58">
        <v>0</v>
      </c>
      <c r="E100" s="57">
        <f t="shared" si="20"/>
        <v>44252</v>
      </c>
      <c r="F100" s="57">
        <v>44286</v>
      </c>
      <c r="G100" s="53">
        <f t="shared" si="21"/>
        <v>35</v>
      </c>
      <c r="H100" s="53">
        <v>365</v>
      </c>
      <c r="I100" s="52">
        <f t="shared" si="22"/>
        <v>0</v>
      </c>
      <c r="J100" s="71">
        <f t="shared" si="23"/>
        <v>0</v>
      </c>
    </row>
    <row r="101" spans="1:14" ht="19.5" customHeight="1">
      <c r="B101" s="57">
        <v>44280</v>
      </c>
      <c r="C101" s="53" t="s">
        <v>4</v>
      </c>
      <c r="D101" s="58">
        <v>0</v>
      </c>
      <c r="E101" s="57">
        <f t="shared" si="20"/>
        <v>44280</v>
      </c>
      <c r="F101" s="57">
        <v>44286</v>
      </c>
      <c r="G101" s="53">
        <f t="shared" si="21"/>
        <v>7</v>
      </c>
      <c r="H101" s="53">
        <v>365</v>
      </c>
      <c r="I101" s="52">
        <f t="shared" si="22"/>
        <v>0</v>
      </c>
      <c r="J101" s="71">
        <f t="shared" si="23"/>
        <v>0</v>
      </c>
    </row>
    <row r="102" spans="1:14" ht="19.5" customHeight="1">
      <c r="D102" s="58">
        <f>SUM(D89:D101)</f>
        <v>0</v>
      </c>
      <c r="J102" s="71">
        <f>SUM(J89:J101)</f>
        <v>0</v>
      </c>
    </row>
    <row r="103" spans="1:14" ht="19.5" customHeight="1">
      <c r="A103" s="53" t="s">
        <v>34</v>
      </c>
      <c r="B103" s="57">
        <v>44287</v>
      </c>
      <c r="C103" s="53" t="s">
        <v>5</v>
      </c>
      <c r="D103" s="66">
        <f>D102+N98</f>
        <v>0</v>
      </c>
      <c r="E103" s="57">
        <f t="shared" ref="E103:E115" si="24">B103</f>
        <v>44287</v>
      </c>
      <c r="F103" s="57">
        <v>44651</v>
      </c>
      <c r="G103" s="53">
        <f t="shared" ref="G103:G115" si="25">F103-B103+1</f>
        <v>365</v>
      </c>
      <c r="H103" s="53">
        <v>365</v>
      </c>
      <c r="I103" s="52">
        <f t="shared" ref="I103:I115" si="26">ROUNDDOWN(D103/100,0)*100</f>
        <v>0</v>
      </c>
      <c r="J103" s="71">
        <f t="shared" ref="J103:J115" si="27">ROUNDDOWN(I103*G103/H103,0)</f>
        <v>0</v>
      </c>
    </row>
    <row r="104" spans="1:14" ht="19.5" customHeight="1">
      <c r="B104" s="57">
        <v>44311</v>
      </c>
      <c r="C104" s="53" t="s">
        <v>4</v>
      </c>
      <c r="D104" s="58">
        <v>0</v>
      </c>
      <c r="E104" s="57">
        <f t="shared" si="24"/>
        <v>44311</v>
      </c>
      <c r="F104" s="57">
        <v>44651</v>
      </c>
      <c r="G104" s="53">
        <f t="shared" si="25"/>
        <v>341</v>
      </c>
      <c r="H104" s="53">
        <v>365</v>
      </c>
      <c r="I104" s="52">
        <f t="shared" si="26"/>
        <v>0</v>
      </c>
      <c r="J104" s="71">
        <f t="shared" si="27"/>
        <v>0</v>
      </c>
    </row>
    <row r="105" spans="1:14" ht="19.5" customHeight="1">
      <c r="B105" s="57">
        <v>44341</v>
      </c>
      <c r="C105" s="53" t="s">
        <v>4</v>
      </c>
      <c r="D105" s="58">
        <v>0</v>
      </c>
      <c r="E105" s="57">
        <f t="shared" si="24"/>
        <v>44341</v>
      </c>
      <c r="F105" s="57">
        <v>44651</v>
      </c>
      <c r="G105" s="53">
        <f t="shared" si="25"/>
        <v>311</v>
      </c>
      <c r="H105" s="53">
        <v>365</v>
      </c>
      <c r="I105" s="52">
        <f t="shared" si="26"/>
        <v>0</v>
      </c>
      <c r="J105" s="71">
        <f t="shared" si="27"/>
        <v>0</v>
      </c>
    </row>
    <row r="106" spans="1:14" ht="19.5" customHeight="1">
      <c r="B106" s="57">
        <v>44372</v>
      </c>
      <c r="C106" s="53" t="s">
        <v>4</v>
      </c>
      <c r="D106" s="58">
        <v>0</v>
      </c>
      <c r="E106" s="57">
        <f t="shared" si="24"/>
        <v>44372</v>
      </c>
      <c r="F106" s="57">
        <v>44651</v>
      </c>
      <c r="G106" s="53">
        <f t="shared" si="25"/>
        <v>280</v>
      </c>
      <c r="H106" s="53">
        <v>365</v>
      </c>
      <c r="I106" s="52">
        <f t="shared" si="26"/>
        <v>0</v>
      </c>
      <c r="J106" s="71">
        <f t="shared" si="27"/>
        <v>0</v>
      </c>
    </row>
    <row r="107" spans="1:14" ht="19.5" customHeight="1">
      <c r="B107" s="57">
        <v>44402</v>
      </c>
      <c r="C107" s="53" t="s">
        <v>4</v>
      </c>
      <c r="D107" s="58">
        <v>0</v>
      </c>
      <c r="E107" s="57">
        <f t="shared" si="24"/>
        <v>44402</v>
      </c>
      <c r="F107" s="57">
        <v>44651</v>
      </c>
      <c r="G107" s="53">
        <f t="shared" si="25"/>
        <v>250</v>
      </c>
      <c r="H107" s="53">
        <v>365</v>
      </c>
      <c r="I107" s="52">
        <f t="shared" si="26"/>
        <v>0</v>
      </c>
      <c r="J107" s="71">
        <f t="shared" si="27"/>
        <v>0</v>
      </c>
    </row>
    <row r="108" spans="1:14" ht="19.5" customHeight="1">
      <c r="B108" s="57">
        <v>44433</v>
      </c>
      <c r="C108" s="53" t="s">
        <v>4</v>
      </c>
      <c r="D108" s="58">
        <v>0</v>
      </c>
      <c r="E108" s="57">
        <f t="shared" si="24"/>
        <v>44433</v>
      </c>
      <c r="F108" s="57">
        <v>44651</v>
      </c>
      <c r="G108" s="53">
        <f t="shared" si="25"/>
        <v>219</v>
      </c>
      <c r="H108" s="53">
        <v>365</v>
      </c>
      <c r="I108" s="52">
        <f t="shared" si="26"/>
        <v>0</v>
      </c>
      <c r="J108" s="71">
        <f t="shared" si="27"/>
        <v>0</v>
      </c>
    </row>
    <row r="109" spans="1:14" ht="19.5" customHeight="1" thickBot="1">
      <c r="B109" s="57">
        <v>44464</v>
      </c>
      <c r="C109" s="53" t="s">
        <v>4</v>
      </c>
      <c r="D109" s="58">
        <v>0</v>
      </c>
      <c r="E109" s="57">
        <f t="shared" si="24"/>
        <v>44464</v>
      </c>
      <c r="F109" s="57">
        <v>44651</v>
      </c>
      <c r="G109" s="53">
        <f t="shared" si="25"/>
        <v>188</v>
      </c>
      <c r="H109" s="53">
        <v>365</v>
      </c>
      <c r="I109" s="52">
        <f t="shared" si="26"/>
        <v>0</v>
      </c>
      <c r="J109" s="71">
        <f t="shared" si="27"/>
        <v>0</v>
      </c>
    </row>
    <row r="110" spans="1:14" ht="19.5" customHeight="1" thickBot="1">
      <c r="B110" s="57">
        <v>44494</v>
      </c>
      <c r="C110" s="53" t="s">
        <v>4</v>
      </c>
      <c r="D110" s="58">
        <v>0</v>
      </c>
      <c r="E110" s="57">
        <f t="shared" si="24"/>
        <v>44494</v>
      </c>
      <c r="F110" s="57">
        <v>44651</v>
      </c>
      <c r="G110" s="53">
        <f t="shared" si="25"/>
        <v>158</v>
      </c>
      <c r="H110" s="53">
        <v>365</v>
      </c>
      <c r="I110" s="52">
        <f t="shared" si="26"/>
        <v>0</v>
      </c>
      <c r="J110" s="71">
        <f t="shared" si="27"/>
        <v>0</v>
      </c>
      <c r="K110" s="94" t="s">
        <v>15</v>
      </c>
      <c r="L110" s="95"/>
      <c r="M110" s="95"/>
      <c r="N110" s="96"/>
    </row>
    <row r="111" spans="1:14" ht="19.5" customHeight="1">
      <c r="B111" s="57">
        <v>44525</v>
      </c>
      <c r="C111" s="53" t="s">
        <v>4</v>
      </c>
      <c r="D111" s="58">
        <v>0</v>
      </c>
      <c r="E111" s="57">
        <f t="shared" si="24"/>
        <v>44525</v>
      </c>
      <c r="F111" s="57">
        <v>44651</v>
      </c>
      <c r="G111" s="53">
        <f t="shared" si="25"/>
        <v>127</v>
      </c>
      <c r="H111" s="53">
        <v>365</v>
      </c>
      <c r="I111" s="52">
        <f t="shared" si="26"/>
        <v>0</v>
      </c>
      <c r="J111" s="71">
        <f t="shared" si="27"/>
        <v>0</v>
      </c>
      <c r="K111" s="59" t="s">
        <v>11</v>
      </c>
      <c r="L111" s="60" t="s">
        <v>12</v>
      </c>
      <c r="M111" s="60" t="s">
        <v>13</v>
      </c>
      <c r="N111" s="61" t="s">
        <v>14</v>
      </c>
    </row>
    <row r="112" spans="1:14" ht="19.5" customHeight="1" thickBot="1">
      <c r="B112" s="57">
        <v>44555</v>
      </c>
      <c r="C112" s="53" t="s">
        <v>4</v>
      </c>
      <c r="D112" s="58">
        <v>0</v>
      </c>
      <c r="E112" s="57">
        <f t="shared" si="24"/>
        <v>44555</v>
      </c>
      <c r="F112" s="57">
        <v>44651</v>
      </c>
      <c r="G112" s="53">
        <f t="shared" si="25"/>
        <v>97</v>
      </c>
      <c r="H112" s="53">
        <v>365</v>
      </c>
      <c r="I112" s="52">
        <f t="shared" si="26"/>
        <v>0</v>
      </c>
      <c r="J112" s="71">
        <f t="shared" si="27"/>
        <v>0</v>
      </c>
      <c r="K112" s="62">
        <f>ROUNDDOWN(J116*1.6/100,0)</f>
        <v>0</v>
      </c>
      <c r="L112" s="63">
        <f>ROUNDDOWN(K112*0.15315,0)</f>
        <v>0</v>
      </c>
      <c r="M112" s="56">
        <f>ROUNDDOWN(K112*0.05,0)</f>
        <v>0</v>
      </c>
      <c r="N112" s="64">
        <f>K112-L112-M112</f>
        <v>0</v>
      </c>
    </row>
    <row r="113" spans="1:14" ht="19.5" customHeight="1">
      <c r="B113" s="57">
        <v>44586</v>
      </c>
      <c r="C113" s="53" t="s">
        <v>4</v>
      </c>
      <c r="D113" s="58">
        <v>0</v>
      </c>
      <c r="E113" s="57">
        <f t="shared" si="24"/>
        <v>44586</v>
      </c>
      <c r="F113" s="57">
        <v>44651</v>
      </c>
      <c r="G113" s="53">
        <f t="shared" si="25"/>
        <v>66</v>
      </c>
      <c r="H113" s="53">
        <v>365</v>
      </c>
      <c r="I113" s="52">
        <f t="shared" si="26"/>
        <v>0</v>
      </c>
      <c r="J113" s="71">
        <f t="shared" si="27"/>
        <v>0</v>
      </c>
      <c r="L113" s="53" t="s">
        <v>16</v>
      </c>
    </row>
    <row r="114" spans="1:14" ht="19.5" customHeight="1">
      <c r="B114" s="57">
        <v>44617</v>
      </c>
      <c r="C114" s="53" t="s">
        <v>4</v>
      </c>
      <c r="D114" s="58">
        <v>0</v>
      </c>
      <c r="E114" s="57">
        <f t="shared" si="24"/>
        <v>44617</v>
      </c>
      <c r="F114" s="57">
        <v>44651</v>
      </c>
      <c r="G114" s="53">
        <f t="shared" si="25"/>
        <v>35</v>
      </c>
      <c r="H114" s="53">
        <v>365</v>
      </c>
      <c r="I114" s="52">
        <f t="shared" si="26"/>
        <v>0</v>
      </c>
      <c r="J114" s="71">
        <f t="shared" si="27"/>
        <v>0</v>
      </c>
    </row>
    <row r="115" spans="1:14" ht="19.5" customHeight="1">
      <c r="B115" s="57">
        <v>44645</v>
      </c>
      <c r="C115" s="53" t="s">
        <v>4</v>
      </c>
      <c r="D115" s="58">
        <v>0</v>
      </c>
      <c r="E115" s="57">
        <f t="shared" si="24"/>
        <v>44645</v>
      </c>
      <c r="F115" s="57">
        <v>44651</v>
      </c>
      <c r="G115" s="53">
        <f t="shared" si="25"/>
        <v>7</v>
      </c>
      <c r="H115" s="53">
        <v>365</v>
      </c>
      <c r="I115" s="52">
        <f t="shared" si="26"/>
        <v>0</v>
      </c>
      <c r="J115" s="71">
        <f t="shared" si="27"/>
        <v>0</v>
      </c>
    </row>
    <row r="116" spans="1:14" ht="19.5" customHeight="1">
      <c r="D116" s="58">
        <f>SUM(D103:D115)</f>
        <v>0</v>
      </c>
      <c r="J116" s="71">
        <f>SUM(J103:J115)</f>
        <v>0</v>
      </c>
    </row>
    <row r="117" spans="1:14" ht="19.5" customHeight="1">
      <c r="A117" s="53" t="s">
        <v>35</v>
      </c>
      <c r="B117" s="57">
        <v>44652</v>
      </c>
      <c r="C117" s="53" t="s">
        <v>5</v>
      </c>
      <c r="D117" s="66">
        <f>D116+N112</f>
        <v>0</v>
      </c>
      <c r="E117" s="57">
        <f t="shared" ref="E117:E129" si="28">B117</f>
        <v>44652</v>
      </c>
      <c r="F117" s="57">
        <v>45016</v>
      </c>
      <c r="G117" s="53">
        <f t="shared" ref="G117:G129" si="29">F117-B117+1</f>
        <v>365</v>
      </c>
      <c r="H117" s="53">
        <v>365</v>
      </c>
      <c r="I117" s="52">
        <f t="shared" ref="I117:I129" si="30">ROUNDDOWN(D117/100,0)*100</f>
        <v>0</v>
      </c>
      <c r="J117" s="74">
        <f t="shared" ref="J117:J129" si="31">ROUNDDOWN(I117*G117/H117,0)</f>
        <v>0</v>
      </c>
    </row>
    <row r="118" spans="1:14" ht="19.5" customHeight="1">
      <c r="B118" s="57">
        <v>44676</v>
      </c>
      <c r="C118" s="53" t="s">
        <v>4</v>
      </c>
      <c r="D118" s="58">
        <v>0</v>
      </c>
      <c r="E118" s="57">
        <f t="shared" si="28"/>
        <v>44676</v>
      </c>
      <c r="F118" s="57">
        <v>45016</v>
      </c>
      <c r="G118" s="53">
        <f t="shared" si="29"/>
        <v>341</v>
      </c>
      <c r="H118" s="53">
        <v>365</v>
      </c>
      <c r="I118" s="52">
        <f t="shared" si="30"/>
        <v>0</v>
      </c>
      <c r="J118" s="74">
        <f t="shared" si="31"/>
        <v>0</v>
      </c>
    </row>
    <row r="119" spans="1:14" ht="19.5" customHeight="1">
      <c r="B119" s="57">
        <v>44706</v>
      </c>
      <c r="C119" s="53" t="s">
        <v>4</v>
      </c>
      <c r="D119" s="58">
        <v>0</v>
      </c>
      <c r="E119" s="57">
        <f t="shared" si="28"/>
        <v>44706</v>
      </c>
      <c r="F119" s="57">
        <v>45016</v>
      </c>
      <c r="G119" s="53">
        <f t="shared" si="29"/>
        <v>311</v>
      </c>
      <c r="H119" s="53">
        <v>365</v>
      </c>
      <c r="I119" s="52">
        <f t="shared" si="30"/>
        <v>0</v>
      </c>
      <c r="J119" s="74">
        <f t="shared" si="31"/>
        <v>0</v>
      </c>
    </row>
    <row r="120" spans="1:14" ht="19.5" customHeight="1">
      <c r="B120" s="57">
        <v>44737</v>
      </c>
      <c r="C120" s="53" t="s">
        <v>4</v>
      </c>
      <c r="D120" s="58">
        <v>0</v>
      </c>
      <c r="E120" s="57">
        <f t="shared" si="28"/>
        <v>44737</v>
      </c>
      <c r="F120" s="57">
        <v>45016</v>
      </c>
      <c r="G120" s="53">
        <f t="shared" si="29"/>
        <v>280</v>
      </c>
      <c r="H120" s="53">
        <v>365</v>
      </c>
      <c r="I120" s="52">
        <f t="shared" si="30"/>
        <v>0</v>
      </c>
      <c r="J120" s="74">
        <f t="shared" si="31"/>
        <v>0</v>
      </c>
    </row>
    <row r="121" spans="1:14" ht="19.5" customHeight="1">
      <c r="B121" s="57">
        <v>44767</v>
      </c>
      <c r="C121" s="53" t="s">
        <v>4</v>
      </c>
      <c r="D121" s="58">
        <v>0</v>
      </c>
      <c r="E121" s="57">
        <f t="shared" si="28"/>
        <v>44767</v>
      </c>
      <c r="F121" s="57">
        <v>45016</v>
      </c>
      <c r="G121" s="53">
        <f t="shared" si="29"/>
        <v>250</v>
      </c>
      <c r="H121" s="53">
        <v>365</v>
      </c>
      <c r="I121" s="52">
        <f t="shared" si="30"/>
        <v>0</v>
      </c>
      <c r="J121" s="74">
        <f t="shared" si="31"/>
        <v>0</v>
      </c>
    </row>
    <row r="122" spans="1:14" ht="19.5" customHeight="1">
      <c r="B122" s="57">
        <v>44798</v>
      </c>
      <c r="C122" s="53" t="s">
        <v>4</v>
      </c>
      <c r="D122" s="58">
        <v>0</v>
      </c>
      <c r="E122" s="57">
        <f t="shared" si="28"/>
        <v>44798</v>
      </c>
      <c r="F122" s="57">
        <v>45016</v>
      </c>
      <c r="G122" s="53">
        <f t="shared" si="29"/>
        <v>219</v>
      </c>
      <c r="H122" s="53">
        <v>365</v>
      </c>
      <c r="I122" s="52">
        <f t="shared" si="30"/>
        <v>0</v>
      </c>
      <c r="J122" s="74">
        <f t="shared" si="31"/>
        <v>0</v>
      </c>
    </row>
    <row r="123" spans="1:14" ht="19.5" customHeight="1" thickBot="1">
      <c r="B123" s="57">
        <v>44829</v>
      </c>
      <c r="C123" s="53" t="s">
        <v>4</v>
      </c>
      <c r="D123" s="58">
        <v>0</v>
      </c>
      <c r="E123" s="57">
        <f t="shared" si="28"/>
        <v>44829</v>
      </c>
      <c r="F123" s="57">
        <v>45016</v>
      </c>
      <c r="G123" s="53">
        <f t="shared" si="29"/>
        <v>188</v>
      </c>
      <c r="H123" s="53">
        <v>365</v>
      </c>
      <c r="I123" s="52">
        <f t="shared" si="30"/>
        <v>0</v>
      </c>
      <c r="J123" s="74">
        <f t="shared" si="31"/>
        <v>0</v>
      </c>
    </row>
    <row r="124" spans="1:14" ht="19.5" customHeight="1" thickBot="1">
      <c r="B124" s="57">
        <v>44859</v>
      </c>
      <c r="C124" s="53" t="s">
        <v>4</v>
      </c>
      <c r="D124" s="58">
        <v>0</v>
      </c>
      <c r="E124" s="57">
        <f t="shared" si="28"/>
        <v>44859</v>
      </c>
      <c r="F124" s="57">
        <v>45016</v>
      </c>
      <c r="G124" s="53">
        <f t="shared" si="29"/>
        <v>158</v>
      </c>
      <c r="H124" s="53">
        <v>365</v>
      </c>
      <c r="I124" s="52">
        <f t="shared" si="30"/>
        <v>0</v>
      </c>
      <c r="J124" s="74">
        <f t="shared" si="31"/>
        <v>0</v>
      </c>
      <c r="K124" s="94" t="s">
        <v>15</v>
      </c>
      <c r="L124" s="95"/>
      <c r="M124" s="95"/>
      <c r="N124" s="96"/>
    </row>
    <row r="125" spans="1:14" ht="19.5" customHeight="1">
      <c r="B125" s="57">
        <v>44890</v>
      </c>
      <c r="C125" s="53" t="s">
        <v>4</v>
      </c>
      <c r="D125" s="58">
        <v>0</v>
      </c>
      <c r="E125" s="57">
        <f t="shared" si="28"/>
        <v>44890</v>
      </c>
      <c r="F125" s="57">
        <v>45016</v>
      </c>
      <c r="G125" s="53">
        <f t="shared" si="29"/>
        <v>127</v>
      </c>
      <c r="H125" s="53">
        <v>365</v>
      </c>
      <c r="I125" s="52">
        <f t="shared" si="30"/>
        <v>0</v>
      </c>
      <c r="J125" s="74">
        <f t="shared" si="31"/>
        <v>0</v>
      </c>
      <c r="K125" s="59" t="s">
        <v>11</v>
      </c>
      <c r="L125" s="60" t="s">
        <v>12</v>
      </c>
      <c r="M125" s="60" t="s">
        <v>13</v>
      </c>
      <c r="N125" s="61" t="s">
        <v>14</v>
      </c>
    </row>
    <row r="126" spans="1:14" ht="19.5" customHeight="1" thickBot="1">
      <c r="B126" s="57">
        <v>44920</v>
      </c>
      <c r="C126" s="53" t="s">
        <v>4</v>
      </c>
      <c r="D126" s="58">
        <v>0</v>
      </c>
      <c r="E126" s="57">
        <f t="shared" si="28"/>
        <v>44920</v>
      </c>
      <c r="F126" s="57">
        <v>45016</v>
      </c>
      <c r="G126" s="53">
        <f t="shared" si="29"/>
        <v>97</v>
      </c>
      <c r="H126" s="53">
        <v>365</v>
      </c>
      <c r="I126" s="52">
        <f t="shared" si="30"/>
        <v>0</v>
      </c>
      <c r="J126" s="74">
        <f t="shared" si="31"/>
        <v>0</v>
      </c>
      <c r="K126" s="62">
        <f>ROUNDDOWN(J130*1.6/100,0)</f>
        <v>0</v>
      </c>
      <c r="L126" s="63">
        <f>ROUNDDOWN(K126*0.15315,0)</f>
        <v>0</v>
      </c>
      <c r="M126" s="56">
        <f>ROUNDDOWN(K126*0.05,0)</f>
        <v>0</v>
      </c>
      <c r="N126" s="64">
        <f>K126-L126-M126</f>
        <v>0</v>
      </c>
    </row>
    <row r="127" spans="1:14" ht="19.5" customHeight="1">
      <c r="B127" s="57">
        <v>44951</v>
      </c>
      <c r="C127" s="53" t="s">
        <v>4</v>
      </c>
      <c r="D127" s="58">
        <v>0</v>
      </c>
      <c r="E127" s="57">
        <f t="shared" si="28"/>
        <v>44951</v>
      </c>
      <c r="F127" s="57">
        <v>45016</v>
      </c>
      <c r="G127" s="53">
        <f t="shared" si="29"/>
        <v>66</v>
      </c>
      <c r="H127" s="53">
        <v>365</v>
      </c>
      <c r="I127" s="52">
        <f t="shared" si="30"/>
        <v>0</v>
      </c>
      <c r="J127" s="74">
        <f t="shared" si="31"/>
        <v>0</v>
      </c>
      <c r="L127" s="53" t="s">
        <v>16</v>
      </c>
    </row>
    <row r="128" spans="1:14" ht="19.5" customHeight="1">
      <c r="B128" s="57">
        <v>44982</v>
      </c>
      <c r="C128" s="53" t="s">
        <v>4</v>
      </c>
      <c r="D128" s="58">
        <v>0</v>
      </c>
      <c r="E128" s="57">
        <f t="shared" si="28"/>
        <v>44982</v>
      </c>
      <c r="F128" s="57">
        <v>45016</v>
      </c>
      <c r="G128" s="53">
        <f t="shared" si="29"/>
        <v>35</v>
      </c>
      <c r="H128" s="53">
        <v>365</v>
      </c>
      <c r="I128" s="52">
        <f t="shared" si="30"/>
        <v>0</v>
      </c>
      <c r="J128" s="74">
        <f t="shared" si="31"/>
        <v>0</v>
      </c>
    </row>
    <row r="129" spans="2:10" ht="19.5" customHeight="1">
      <c r="B129" s="57">
        <v>45010</v>
      </c>
      <c r="C129" s="53" t="s">
        <v>4</v>
      </c>
      <c r="D129" s="58">
        <v>0</v>
      </c>
      <c r="E129" s="57">
        <f t="shared" si="28"/>
        <v>45010</v>
      </c>
      <c r="F129" s="57">
        <v>45016</v>
      </c>
      <c r="G129" s="53">
        <f t="shared" si="29"/>
        <v>7</v>
      </c>
      <c r="H129" s="53">
        <v>365</v>
      </c>
      <c r="I129" s="52">
        <f t="shared" si="30"/>
        <v>0</v>
      </c>
      <c r="J129" s="74">
        <f t="shared" si="31"/>
        <v>0</v>
      </c>
    </row>
    <row r="130" spans="2:10" ht="19.5" customHeight="1">
      <c r="D130" s="58">
        <f>SUM(D117:D129)</f>
        <v>0</v>
      </c>
      <c r="J130" s="74">
        <f>SUM(J117:J129)</f>
        <v>0</v>
      </c>
    </row>
    <row r="131" spans="2:10" ht="19.5" customHeight="1">
      <c r="B131" s="57">
        <v>45017</v>
      </c>
      <c r="C131" s="53" t="s">
        <v>5</v>
      </c>
      <c r="D131" s="58">
        <f>D130+N126</f>
        <v>0</v>
      </c>
      <c r="E131" s="57">
        <f>B131</f>
        <v>45017</v>
      </c>
      <c r="F131" s="57">
        <v>45382</v>
      </c>
      <c r="G131" s="53">
        <f>F131-B131+1</f>
        <v>366</v>
      </c>
      <c r="H131" s="53">
        <v>365</v>
      </c>
      <c r="I131" s="52">
        <f>ROUNDDOWN(D131/100,0)*100</f>
        <v>0</v>
      </c>
      <c r="J131" s="74">
        <f>ROUNDDOWN(I131*G131/H131,0)</f>
        <v>0</v>
      </c>
    </row>
  </sheetData>
  <mergeCells count="9">
    <mergeCell ref="K110:N110"/>
    <mergeCell ref="K124:N124"/>
    <mergeCell ref="K41:N41"/>
    <mergeCell ref="A1:F1"/>
    <mergeCell ref="K56:N56"/>
    <mergeCell ref="K68:N68"/>
    <mergeCell ref="K77:N77"/>
    <mergeCell ref="K82:N82"/>
    <mergeCell ref="K96:N96"/>
  </mergeCells>
  <phoneticPr fontId="2"/>
  <pageMargins left="0.75" right="0.75" top="1" bottom="1" header="0.51200000000000001" footer="0.51200000000000001"/>
  <pageSetup paperSize="9" scale="55" orientation="landscape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7" tint="-0.249977111117893"/>
  </sheetPr>
  <dimension ref="A1:M40"/>
  <sheetViews>
    <sheetView zoomScale="82" zoomScaleNormal="82" workbookViewId="0">
      <selection activeCell="M26" sqref="M26"/>
    </sheetView>
  </sheetViews>
  <sheetFormatPr defaultRowHeight="17.25"/>
  <cols>
    <col min="1" max="1" width="16.25" style="1" bestFit="1" customWidth="1"/>
    <col min="2" max="2" width="11.5" style="1" bestFit="1" customWidth="1"/>
    <col min="3" max="3" width="15.125" style="1" bestFit="1" customWidth="1"/>
    <col min="4" max="4" width="16.25" style="1" bestFit="1" customWidth="1"/>
    <col min="5" max="5" width="14.625" style="1" bestFit="1" customWidth="1"/>
    <col min="6" max="7" width="11.75" style="1" bestFit="1" customWidth="1"/>
    <col min="8" max="8" width="14.375" style="2" bestFit="1" customWidth="1"/>
    <col min="9" max="9" width="14.25" style="3" bestFit="1" customWidth="1"/>
    <col min="10" max="10" width="11.75" style="1" bestFit="1" customWidth="1"/>
    <col min="11" max="11" width="8.5" style="1" bestFit="1" customWidth="1"/>
    <col min="12" max="12" width="9.25" style="1" bestFit="1" customWidth="1"/>
    <col min="13" max="13" width="11.75" style="1" bestFit="1" customWidth="1"/>
    <col min="14" max="16384" width="9" style="1"/>
  </cols>
  <sheetData>
    <row r="1" spans="1:13" ht="33" customHeight="1">
      <c r="A1" s="17" t="s">
        <v>17</v>
      </c>
      <c r="B1" s="107" t="s">
        <v>21</v>
      </c>
      <c r="C1" s="107"/>
      <c r="D1" s="107"/>
      <c r="E1" s="107"/>
      <c r="F1" s="18" t="s">
        <v>19</v>
      </c>
      <c r="G1" s="1">
        <v>208</v>
      </c>
    </row>
    <row r="2" spans="1:13" ht="33" customHeight="1">
      <c r="A2" s="17" t="s">
        <v>18</v>
      </c>
      <c r="B2" s="108" t="s">
        <v>22</v>
      </c>
      <c r="C2" s="108"/>
      <c r="D2" s="108"/>
      <c r="E2" s="108"/>
      <c r="F2" s="18" t="s">
        <v>20</v>
      </c>
      <c r="G2" s="1">
        <v>563</v>
      </c>
    </row>
    <row r="3" spans="1:13" s="17" customFormat="1" ht="33" customHeight="1">
      <c r="A3" s="19" t="s">
        <v>1</v>
      </c>
      <c r="B3" s="19" t="s">
        <v>2</v>
      </c>
      <c r="C3" s="20" t="s">
        <v>3</v>
      </c>
      <c r="D3" s="20" t="s">
        <v>6</v>
      </c>
      <c r="E3" s="19" t="s">
        <v>7</v>
      </c>
      <c r="F3" s="19" t="s">
        <v>8</v>
      </c>
      <c r="G3" s="19" t="s">
        <v>9</v>
      </c>
      <c r="H3" s="21" t="s">
        <v>10</v>
      </c>
      <c r="I3" s="22"/>
    </row>
    <row r="4" spans="1:13" ht="33" customHeight="1">
      <c r="A4" s="12">
        <v>42095</v>
      </c>
      <c r="B4" s="9" t="s">
        <v>5</v>
      </c>
      <c r="C4" s="10">
        <v>11306824</v>
      </c>
      <c r="D4" s="12">
        <f t="shared" ref="D4:D16" si="0">A4</f>
        <v>42095</v>
      </c>
      <c r="E4" s="12">
        <v>42460</v>
      </c>
      <c r="F4" s="9">
        <v>366</v>
      </c>
      <c r="G4" s="9">
        <v>366</v>
      </c>
      <c r="H4" s="13">
        <f t="shared" ref="H4:H16" si="1">ROUNDDOWN(C4/100,0)*100</f>
        <v>11306800</v>
      </c>
      <c r="I4" s="11">
        <f t="shared" ref="I4:I16" si="2">ROUNDDOWN(H4*F4/G4,0)</f>
        <v>11306800</v>
      </c>
    </row>
    <row r="5" spans="1:13" ht="33" customHeight="1">
      <c r="A5" s="12">
        <v>42119</v>
      </c>
      <c r="B5" s="9" t="s">
        <v>4</v>
      </c>
      <c r="C5" s="10">
        <v>70000</v>
      </c>
      <c r="D5" s="12">
        <f t="shared" si="0"/>
        <v>42119</v>
      </c>
      <c r="E5" s="12">
        <v>42460</v>
      </c>
      <c r="F5" s="9">
        <f t="shared" ref="F5:F16" si="3">E5-A5+1</f>
        <v>342</v>
      </c>
      <c r="G5" s="9">
        <v>366</v>
      </c>
      <c r="H5" s="13">
        <f t="shared" si="1"/>
        <v>70000</v>
      </c>
      <c r="I5" s="11">
        <f t="shared" si="2"/>
        <v>65409</v>
      </c>
    </row>
    <row r="6" spans="1:13" ht="33" customHeight="1">
      <c r="A6" s="12">
        <v>42149</v>
      </c>
      <c r="B6" s="9" t="s">
        <v>4</v>
      </c>
      <c r="C6" s="10">
        <v>70000</v>
      </c>
      <c r="D6" s="12">
        <f t="shared" si="0"/>
        <v>42149</v>
      </c>
      <c r="E6" s="12">
        <v>42460</v>
      </c>
      <c r="F6" s="9">
        <f t="shared" si="3"/>
        <v>312</v>
      </c>
      <c r="G6" s="9">
        <v>366</v>
      </c>
      <c r="H6" s="13">
        <f t="shared" si="1"/>
        <v>70000</v>
      </c>
      <c r="I6" s="11">
        <f t="shared" si="2"/>
        <v>59672</v>
      </c>
    </row>
    <row r="7" spans="1:13" ht="33" customHeight="1">
      <c r="A7" s="12">
        <v>42180</v>
      </c>
      <c r="B7" s="9" t="s">
        <v>4</v>
      </c>
      <c r="C7" s="10">
        <v>70000</v>
      </c>
      <c r="D7" s="12">
        <f t="shared" si="0"/>
        <v>42180</v>
      </c>
      <c r="E7" s="12">
        <v>42460</v>
      </c>
      <c r="F7" s="9">
        <f t="shared" si="3"/>
        <v>281</v>
      </c>
      <c r="G7" s="9">
        <v>366</v>
      </c>
      <c r="H7" s="13">
        <f t="shared" si="1"/>
        <v>70000</v>
      </c>
      <c r="I7" s="11">
        <f t="shared" si="2"/>
        <v>53743</v>
      </c>
    </row>
    <row r="8" spans="1:13" ht="33" customHeight="1">
      <c r="A8" s="12">
        <v>42210</v>
      </c>
      <c r="B8" s="9" t="s">
        <v>4</v>
      </c>
      <c r="C8" s="10">
        <v>70000</v>
      </c>
      <c r="D8" s="12">
        <f t="shared" si="0"/>
        <v>42210</v>
      </c>
      <c r="E8" s="12">
        <v>42460</v>
      </c>
      <c r="F8" s="9">
        <f t="shared" si="3"/>
        <v>251</v>
      </c>
      <c r="G8" s="9">
        <v>366</v>
      </c>
      <c r="H8" s="13">
        <f t="shared" si="1"/>
        <v>70000</v>
      </c>
      <c r="I8" s="11">
        <f t="shared" si="2"/>
        <v>48005</v>
      </c>
    </row>
    <row r="9" spans="1:13" ht="33" customHeight="1">
      <c r="A9" s="12">
        <v>42231</v>
      </c>
      <c r="B9" s="9" t="s">
        <v>4</v>
      </c>
      <c r="C9" s="10">
        <v>70000</v>
      </c>
      <c r="D9" s="12">
        <f t="shared" si="0"/>
        <v>42231</v>
      </c>
      <c r="E9" s="12">
        <v>42460</v>
      </c>
      <c r="F9" s="9">
        <v>220</v>
      </c>
      <c r="G9" s="9">
        <v>366</v>
      </c>
      <c r="H9" s="13">
        <f t="shared" si="1"/>
        <v>70000</v>
      </c>
      <c r="I9" s="11">
        <f t="shared" si="2"/>
        <v>42076</v>
      </c>
    </row>
    <row r="10" spans="1:13" ht="33" customHeight="1">
      <c r="A10" s="12">
        <v>42272</v>
      </c>
      <c r="B10" s="9" t="s">
        <v>4</v>
      </c>
      <c r="C10" s="10">
        <v>70000</v>
      </c>
      <c r="D10" s="12">
        <f t="shared" si="0"/>
        <v>42272</v>
      </c>
      <c r="E10" s="12">
        <v>42460</v>
      </c>
      <c r="F10" s="9">
        <f t="shared" si="3"/>
        <v>189</v>
      </c>
      <c r="G10" s="9">
        <v>366</v>
      </c>
      <c r="H10" s="13">
        <f t="shared" si="1"/>
        <v>70000</v>
      </c>
      <c r="I10" s="11">
        <f t="shared" si="2"/>
        <v>36147</v>
      </c>
    </row>
    <row r="11" spans="1:13" ht="33" customHeight="1">
      <c r="A11" s="12">
        <v>42302</v>
      </c>
      <c r="B11" s="9" t="s">
        <v>4</v>
      </c>
      <c r="C11" s="10">
        <v>70000</v>
      </c>
      <c r="D11" s="12">
        <f t="shared" si="0"/>
        <v>42302</v>
      </c>
      <c r="E11" s="12">
        <v>42460</v>
      </c>
      <c r="F11" s="9">
        <f t="shared" si="3"/>
        <v>159</v>
      </c>
      <c r="G11" s="9">
        <v>366</v>
      </c>
      <c r="H11" s="13">
        <f t="shared" si="1"/>
        <v>70000</v>
      </c>
      <c r="I11" s="11">
        <f t="shared" si="2"/>
        <v>30409</v>
      </c>
    </row>
    <row r="12" spans="1:13" ht="33" customHeight="1">
      <c r="A12" s="12">
        <v>42333</v>
      </c>
      <c r="B12" s="9" t="s">
        <v>4</v>
      </c>
      <c r="C12" s="10">
        <v>70000</v>
      </c>
      <c r="D12" s="12">
        <f t="shared" si="0"/>
        <v>42333</v>
      </c>
      <c r="E12" s="12">
        <v>42460</v>
      </c>
      <c r="F12" s="9">
        <f t="shared" si="3"/>
        <v>128</v>
      </c>
      <c r="G12" s="9">
        <v>366</v>
      </c>
      <c r="H12" s="13">
        <f t="shared" si="1"/>
        <v>70000</v>
      </c>
      <c r="I12" s="11">
        <f t="shared" si="2"/>
        <v>24480</v>
      </c>
    </row>
    <row r="13" spans="1:13" ht="33" customHeight="1">
      <c r="A13" s="12">
        <v>42363</v>
      </c>
      <c r="B13" s="9" t="s">
        <v>4</v>
      </c>
      <c r="C13" s="10">
        <v>70000</v>
      </c>
      <c r="D13" s="12">
        <f t="shared" si="0"/>
        <v>42363</v>
      </c>
      <c r="E13" s="12">
        <v>42460</v>
      </c>
      <c r="F13" s="9">
        <f t="shared" si="3"/>
        <v>98</v>
      </c>
      <c r="G13" s="9">
        <v>366</v>
      </c>
      <c r="H13" s="13">
        <f t="shared" si="1"/>
        <v>70000</v>
      </c>
      <c r="I13" s="11">
        <f t="shared" si="2"/>
        <v>18743</v>
      </c>
    </row>
    <row r="14" spans="1:13" ht="33" customHeight="1" thickBot="1">
      <c r="A14" s="12">
        <v>42394</v>
      </c>
      <c r="B14" s="9" t="s">
        <v>4</v>
      </c>
      <c r="C14" s="10">
        <v>70000</v>
      </c>
      <c r="D14" s="12">
        <f t="shared" si="0"/>
        <v>42394</v>
      </c>
      <c r="E14" s="12">
        <v>42460</v>
      </c>
      <c r="F14" s="9">
        <f t="shared" si="3"/>
        <v>67</v>
      </c>
      <c r="G14" s="9">
        <v>366</v>
      </c>
      <c r="H14" s="13">
        <f t="shared" si="1"/>
        <v>70000</v>
      </c>
      <c r="I14" s="11">
        <f t="shared" si="2"/>
        <v>12814</v>
      </c>
    </row>
    <row r="15" spans="1:13" ht="33" customHeight="1" thickBot="1">
      <c r="A15" s="12">
        <v>42425</v>
      </c>
      <c r="B15" s="9" t="s">
        <v>4</v>
      </c>
      <c r="C15" s="10">
        <v>70000</v>
      </c>
      <c r="D15" s="12">
        <f t="shared" si="0"/>
        <v>42425</v>
      </c>
      <c r="E15" s="12">
        <v>42460</v>
      </c>
      <c r="F15" s="9">
        <v>36</v>
      </c>
      <c r="G15" s="9">
        <v>366</v>
      </c>
      <c r="H15" s="13">
        <f t="shared" si="1"/>
        <v>70000</v>
      </c>
      <c r="I15" s="11">
        <f t="shared" si="2"/>
        <v>6885</v>
      </c>
      <c r="J15" s="105" t="s">
        <v>15</v>
      </c>
      <c r="K15" s="105"/>
      <c r="L15" s="105"/>
      <c r="M15" s="106"/>
    </row>
    <row r="16" spans="1:13" ht="33" customHeight="1">
      <c r="A16" s="12">
        <v>42454</v>
      </c>
      <c r="B16" s="9" t="s">
        <v>4</v>
      </c>
      <c r="C16" s="10">
        <v>70000</v>
      </c>
      <c r="D16" s="12">
        <f t="shared" si="0"/>
        <v>42454</v>
      </c>
      <c r="E16" s="12">
        <v>42460</v>
      </c>
      <c r="F16" s="9">
        <f t="shared" si="3"/>
        <v>7</v>
      </c>
      <c r="G16" s="9">
        <v>366</v>
      </c>
      <c r="H16" s="13">
        <f t="shared" si="1"/>
        <v>70000</v>
      </c>
      <c r="I16" s="11">
        <f t="shared" si="2"/>
        <v>1338</v>
      </c>
      <c r="J16" s="8" t="s">
        <v>11</v>
      </c>
      <c r="K16" s="6" t="s">
        <v>12</v>
      </c>
      <c r="L16" s="6" t="s">
        <v>13</v>
      </c>
      <c r="M16" s="7" t="s">
        <v>14</v>
      </c>
    </row>
    <row r="17" spans="1:13" ht="33" customHeight="1" thickBot="1">
      <c r="A17" s="9"/>
      <c r="B17" s="9"/>
      <c r="C17" s="10">
        <f>SUM(C4:C16)</f>
        <v>12146824</v>
      </c>
      <c r="D17" s="9"/>
      <c r="E17" s="9"/>
      <c r="F17" s="9"/>
      <c r="G17" s="9"/>
      <c r="H17" s="13"/>
      <c r="I17" s="11">
        <f>SUM(I4:I16)</f>
        <v>11706521</v>
      </c>
      <c r="J17" s="14">
        <f>ROUNDDOWN(I17*1.6/100,0)</f>
        <v>187304</v>
      </c>
      <c r="K17" s="15">
        <f>ROUNDDOWN(J17*0.15315,0)</f>
        <v>28685</v>
      </c>
      <c r="L17" s="15">
        <f>ROUNDDOWN(J17*0.05,0)</f>
        <v>9365</v>
      </c>
      <c r="M17" s="16">
        <f>J17-K17-L17</f>
        <v>149254</v>
      </c>
    </row>
    <row r="18" spans="1:13" ht="33" customHeight="1"/>
    <row r="19" spans="1:13" s="4" customFormat="1" ht="32.25" customHeight="1">
      <c r="A19" s="103" t="s">
        <v>23</v>
      </c>
      <c r="B19" s="103"/>
      <c r="C19" s="103"/>
      <c r="D19" s="26">
        <v>12296078</v>
      </c>
      <c r="E19" s="25" t="s">
        <v>24</v>
      </c>
      <c r="H19" s="5"/>
      <c r="I19" s="23"/>
      <c r="J19" s="5"/>
      <c r="K19" s="5"/>
      <c r="L19" s="5"/>
      <c r="M19" s="5"/>
    </row>
    <row r="20" spans="1:13" s="4" customFormat="1" ht="32.25" customHeight="1">
      <c r="A20" s="24"/>
      <c r="B20" s="24"/>
      <c r="C20" s="24"/>
      <c r="D20" s="26"/>
      <c r="E20" s="25"/>
      <c r="H20" s="5"/>
      <c r="I20" s="23"/>
      <c r="J20" s="5"/>
      <c r="K20" s="5"/>
      <c r="L20" s="5"/>
      <c r="M20" s="5"/>
    </row>
    <row r="21" spans="1:13" ht="33" customHeight="1"/>
    <row r="22" spans="1:13" ht="33" customHeight="1">
      <c r="A22" s="17" t="s">
        <v>17</v>
      </c>
      <c r="B22" s="107" t="s">
        <v>21</v>
      </c>
      <c r="C22" s="107"/>
      <c r="D22" s="107"/>
      <c r="E22" s="107"/>
      <c r="F22" s="18" t="s">
        <v>19</v>
      </c>
      <c r="G22" s="1">
        <v>208</v>
      </c>
    </row>
    <row r="23" spans="1:13" ht="33" customHeight="1">
      <c r="A23" s="17" t="s">
        <v>18</v>
      </c>
      <c r="B23" s="108" t="s">
        <v>22</v>
      </c>
      <c r="C23" s="108"/>
      <c r="D23" s="108"/>
      <c r="E23" s="108"/>
      <c r="F23" s="18" t="s">
        <v>20</v>
      </c>
      <c r="G23" s="1">
        <v>563</v>
      </c>
      <c r="H23" s="104" t="s">
        <v>25</v>
      </c>
      <c r="I23" s="104"/>
    </row>
    <row r="24" spans="1:13" s="17" customFormat="1" ht="33" customHeight="1">
      <c r="A24" s="19" t="s">
        <v>1</v>
      </c>
      <c r="B24" s="19" t="s">
        <v>2</v>
      </c>
      <c r="C24" s="20" t="s">
        <v>3</v>
      </c>
      <c r="D24" s="20" t="s">
        <v>6</v>
      </c>
      <c r="E24" s="19" t="s">
        <v>7</v>
      </c>
      <c r="F24" s="19" t="s">
        <v>8</v>
      </c>
      <c r="G24" s="19" t="s">
        <v>9</v>
      </c>
      <c r="H24" s="21" t="s">
        <v>10</v>
      </c>
      <c r="I24" s="22"/>
    </row>
    <row r="25" spans="1:13" ht="33" customHeight="1">
      <c r="A25" s="12">
        <v>42095</v>
      </c>
      <c r="B25" s="9" t="s">
        <v>5</v>
      </c>
      <c r="C25" s="10">
        <v>11306824</v>
      </c>
      <c r="D25" s="12">
        <f t="shared" ref="D25:D37" si="4">A25</f>
        <v>42095</v>
      </c>
      <c r="E25" s="12">
        <v>42459</v>
      </c>
      <c r="F25" s="9">
        <v>365</v>
      </c>
      <c r="G25" s="9">
        <v>366</v>
      </c>
      <c r="H25" s="13">
        <f t="shared" ref="H25:H37" si="5">ROUNDDOWN(C25/100,0)*100</f>
        <v>11306800</v>
      </c>
      <c r="I25" s="11">
        <f t="shared" ref="I25:I37" si="6">ROUNDDOWN(H25*F25/G25,0)</f>
        <v>11275907</v>
      </c>
    </row>
    <row r="26" spans="1:13" ht="33" customHeight="1">
      <c r="A26" s="12">
        <v>42119</v>
      </c>
      <c r="B26" s="9" t="s">
        <v>4</v>
      </c>
      <c r="C26" s="10">
        <v>70000</v>
      </c>
      <c r="D26" s="12">
        <f t="shared" si="4"/>
        <v>42119</v>
      </c>
      <c r="E26" s="12">
        <v>42459</v>
      </c>
      <c r="F26" s="9">
        <f>E26-A26+1</f>
        <v>341</v>
      </c>
      <c r="G26" s="9">
        <v>366</v>
      </c>
      <c r="H26" s="13">
        <f t="shared" si="5"/>
        <v>70000</v>
      </c>
      <c r="I26" s="11">
        <f t="shared" si="6"/>
        <v>65218</v>
      </c>
    </row>
    <row r="27" spans="1:13" ht="33" customHeight="1">
      <c r="A27" s="12">
        <v>42149</v>
      </c>
      <c r="B27" s="9" t="s">
        <v>4</v>
      </c>
      <c r="C27" s="10">
        <v>70000</v>
      </c>
      <c r="D27" s="12">
        <f t="shared" si="4"/>
        <v>42149</v>
      </c>
      <c r="E27" s="12">
        <v>42459</v>
      </c>
      <c r="F27" s="9">
        <f>E27-A27+1</f>
        <v>311</v>
      </c>
      <c r="G27" s="9">
        <v>366</v>
      </c>
      <c r="H27" s="13">
        <f t="shared" si="5"/>
        <v>70000</v>
      </c>
      <c r="I27" s="11">
        <f t="shared" si="6"/>
        <v>59480</v>
      </c>
    </row>
    <row r="28" spans="1:13" ht="33" customHeight="1">
      <c r="A28" s="12">
        <v>42180</v>
      </c>
      <c r="B28" s="9" t="s">
        <v>4</v>
      </c>
      <c r="C28" s="10">
        <v>70000</v>
      </c>
      <c r="D28" s="12">
        <f t="shared" si="4"/>
        <v>42180</v>
      </c>
      <c r="E28" s="12">
        <v>42459</v>
      </c>
      <c r="F28" s="9">
        <f>E28-A28+1</f>
        <v>280</v>
      </c>
      <c r="G28" s="9">
        <v>366</v>
      </c>
      <c r="H28" s="13">
        <f t="shared" si="5"/>
        <v>70000</v>
      </c>
      <c r="I28" s="11">
        <f t="shared" si="6"/>
        <v>53551</v>
      </c>
    </row>
    <row r="29" spans="1:13" ht="33" customHeight="1">
      <c r="A29" s="12">
        <v>42210</v>
      </c>
      <c r="B29" s="9" t="s">
        <v>4</v>
      </c>
      <c r="C29" s="10">
        <v>70000</v>
      </c>
      <c r="D29" s="12">
        <f t="shared" si="4"/>
        <v>42210</v>
      </c>
      <c r="E29" s="12">
        <v>42459</v>
      </c>
      <c r="F29" s="9">
        <f>E29-A29+1</f>
        <v>250</v>
      </c>
      <c r="G29" s="9">
        <v>366</v>
      </c>
      <c r="H29" s="13">
        <f t="shared" si="5"/>
        <v>70000</v>
      </c>
      <c r="I29" s="11">
        <f t="shared" si="6"/>
        <v>47814</v>
      </c>
    </row>
    <row r="30" spans="1:13" ht="33" customHeight="1">
      <c r="A30" s="12">
        <v>42241</v>
      </c>
      <c r="B30" s="9" t="s">
        <v>4</v>
      </c>
      <c r="C30" s="10">
        <v>70000</v>
      </c>
      <c r="D30" s="12">
        <f t="shared" si="4"/>
        <v>42241</v>
      </c>
      <c r="E30" s="12">
        <v>42459</v>
      </c>
      <c r="F30" s="9">
        <v>219</v>
      </c>
      <c r="G30" s="9">
        <v>366</v>
      </c>
      <c r="H30" s="13">
        <f t="shared" si="5"/>
        <v>70000</v>
      </c>
      <c r="I30" s="11">
        <f t="shared" si="6"/>
        <v>41885</v>
      </c>
    </row>
    <row r="31" spans="1:13" ht="33" customHeight="1">
      <c r="A31" s="12">
        <v>42272</v>
      </c>
      <c r="B31" s="9" t="s">
        <v>4</v>
      </c>
      <c r="C31" s="10">
        <v>70000</v>
      </c>
      <c r="D31" s="12">
        <f t="shared" si="4"/>
        <v>42272</v>
      </c>
      <c r="E31" s="12">
        <v>42459</v>
      </c>
      <c r="F31" s="9">
        <f>E31-A31+1</f>
        <v>188</v>
      </c>
      <c r="G31" s="9">
        <v>366</v>
      </c>
      <c r="H31" s="13">
        <f t="shared" si="5"/>
        <v>70000</v>
      </c>
      <c r="I31" s="11">
        <f t="shared" si="6"/>
        <v>35956</v>
      </c>
    </row>
    <row r="32" spans="1:13" ht="33" customHeight="1">
      <c r="A32" s="12">
        <v>42302</v>
      </c>
      <c r="B32" s="9" t="s">
        <v>4</v>
      </c>
      <c r="C32" s="10">
        <v>70000</v>
      </c>
      <c r="D32" s="12">
        <f t="shared" si="4"/>
        <v>42302</v>
      </c>
      <c r="E32" s="12">
        <v>42459</v>
      </c>
      <c r="F32" s="9">
        <f>E32-A32+1</f>
        <v>158</v>
      </c>
      <c r="G32" s="9">
        <v>366</v>
      </c>
      <c r="H32" s="13">
        <f t="shared" si="5"/>
        <v>70000</v>
      </c>
      <c r="I32" s="11">
        <f t="shared" si="6"/>
        <v>30218</v>
      </c>
    </row>
    <row r="33" spans="1:13" ht="33" customHeight="1">
      <c r="A33" s="12">
        <v>42333</v>
      </c>
      <c r="B33" s="9" t="s">
        <v>4</v>
      </c>
      <c r="C33" s="10">
        <v>70000</v>
      </c>
      <c r="D33" s="12">
        <f t="shared" si="4"/>
        <v>42333</v>
      </c>
      <c r="E33" s="12">
        <v>42459</v>
      </c>
      <c r="F33" s="9">
        <f>E33-A33+1</f>
        <v>127</v>
      </c>
      <c r="G33" s="9">
        <v>366</v>
      </c>
      <c r="H33" s="13">
        <f t="shared" si="5"/>
        <v>70000</v>
      </c>
      <c r="I33" s="11">
        <f t="shared" si="6"/>
        <v>24289</v>
      </c>
    </row>
    <row r="34" spans="1:13" ht="33" customHeight="1">
      <c r="A34" s="12">
        <v>42363</v>
      </c>
      <c r="B34" s="9" t="s">
        <v>4</v>
      </c>
      <c r="C34" s="10">
        <v>70000</v>
      </c>
      <c r="D34" s="12">
        <f t="shared" si="4"/>
        <v>42363</v>
      </c>
      <c r="E34" s="12">
        <v>42459</v>
      </c>
      <c r="F34" s="9">
        <f>E34-A34+1</f>
        <v>97</v>
      </c>
      <c r="G34" s="9">
        <v>366</v>
      </c>
      <c r="H34" s="13">
        <f t="shared" si="5"/>
        <v>70000</v>
      </c>
      <c r="I34" s="11">
        <f t="shared" si="6"/>
        <v>18551</v>
      </c>
    </row>
    <row r="35" spans="1:13" ht="33" customHeight="1" thickBot="1">
      <c r="A35" s="12">
        <v>42394</v>
      </c>
      <c r="B35" s="9" t="s">
        <v>4</v>
      </c>
      <c r="C35" s="10">
        <v>70000</v>
      </c>
      <c r="D35" s="12">
        <f t="shared" si="4"/>
        <v>42394</v>
      </c>
      <c r="E35" s="12">
        <v>42459</v>
      </c>
      <c r="F35" s="9">
        <f>E35-A35+1</f>
        <v>66</v>
      </c>
      <c r="G35" s="9">
        <v>366</v>
      </c>
      <c r="H35" s="13">
        <f t="shared" si="5"/>
        <v>70000</v>
      </c>
      <c r="I35" s="11">
        <f t="shared" si="6"/>
        <v>12622</v>
      </c>
    </row>
    <row r="36" spans="1:13" ht="33" customHeight="1" thickBot="1">
      <c r="A36" s="12">
        <v>42425</v>
      </c>
      <c r="B36" s="9" t="s">
        <v>4</v>
      </c>
      <c r="C36" s="10">
        <v>70000</v>
      </c>
      <c r="D36" s="12">
        <f t="shared" si="4"/>
        <v>42425</v>
      </c>
      <c r="E36" s="12">
        <v>42459</v>
      </c>
      <c r="F36" s="9">
        <v>35</v>
      </c>
      <c r="G36" s="9">
        <v>366</v>
      </c>
      <c r="H36" s="13">
        <f t="shared" si="5"/>
        <v>70000</v>
      </c>
      <c r="I36" s="11">
        <f t="shared" si="6"/>
        <v>6693</v>
      </c>
      <c r="J36" s="105" t="s">
        <v>15</v>
      </c>
      <c r="K36" s="105"/>
      <c r="L36" s="105"/>
      <c r="M36" s="106"/>
    </row>
    <row r="37" spans="1:13" ht="33" customHeight="1">
      <c r="A37" s="12">
        <v>42454</v>
      </c>
      <c r="B37" s="9" t="s">
        <v>4</v>
      </c>
      <c r="C37" s="10">
        <v>70000</v>
      </c>
      <c r="D37" s="12">
        <f t="shared" si="4"/>
        <v>42454</v>
      </c>
      <c r="E37" s="12">
        <v>42459</v>
      </c>
      <c r="F37" s="27">
        <v>6</v>
      </c>
      <c r="G37" s="9">
        <v>366</v>
      </c>
      <c r="H37" s="13">
        <f t="shared" si="5"/>
        <v>70000</v>
      </c>
      <c r="I37" s="11">
        <f t="shared" si="6"/>
        <v>1147</v>
      </c>
      <c r="J37" s="8" t="s">
        <v>11</v>
      </c>
      <c r="K37" s="6" t="s">
        <v>12</v>
      </c>
      <c r="L37" s="6" t="s">
        <v>13</v>
      </c>
      <c r="M37" s="7" t="s">
        <v>14</v>
      </c>
    </row>
    <row r="38" spans="1:13" ht="33" customHeight="1" thickBot="1">
      <c r="A38" s="9"/>
      <c r="B38" s="9"/>
      <c r="C38" s="10">
        <f>SUM(C25:C37)</f>
        <v>12146824</v>
      </c>
      <c r="D38" s="9"/>
      <c r="E38" s="9"/>
      <c r="F38" s="9"/>
      <c r="G38" s="9"/>
      <c r="H38" s="13"/>
      <c r="I38" s="11">
        <f>SUM(I25:I37)</f>
        <v>11673331</v>
      </c>
      <c r="J38" s="14">
        <f>ROUNDDOWN(I38*1.6/100,0)</f>
        <v>186773</v>
      </c>
      <c r="K38" s="15">
        <f>ROUNDDOWN(J38*0.15315,0)</f>
        <v>28604</v>
      </c>
      <c r="L38" s="15">
        <f>ROUNDDOWN(J38*0.05,0)</f>
        <v>9338</v>
      </c>
      <c r="M38" s="16">
        <f>J38-K38-L38</f>
        <v>148831</v>
      </c>
    </row>
    <row r="40" spans="1:13" s="4" customFormat="1" ht="32.25" customHeight="1">
      <c r="A40" s="103" t="s">
        <v>23</v>
      </c>
      <c r="B40" s="103"/>
      <c r="C40" s="103"/>
      <c r="D40" s="26">
        <v>12295655</v>
      </c>
      <c r="E40" s="25" t="s">
        <v>24</v>
      </c>
      <c r="H40" s="5"/>
      <c r="I40" s="23"/>
      <c r="J40" s="5"/>
      <c r="K40" s="5"/>
      <c r="L40" s="5"/>
      <c r="M40" s="5"/>
    </row>
  </sheetData>
  <mergeCells count="9">
    <mergeCell ref="A40:C40"/>
    <mergeCell ref="H23:I23"/>
    <mergeCell ref="J15:M15"/>
    <mergeCell ref="J36:M36"/>
    <mergeCell ref="B1:E1"/>
    <mergeCell ref="B2:E2"/>
    <mergeCell ref="B22:E22"/>
    <mergeCell ref="B23:E23"/>
    <mergeCell ref="A19:C19"/>
  </mergeCells>
  <phoneticPr fontId="2"/>
  <pageMargins left="0.39370078740157483" right="0.39370078740157483" top="0.98425196850393704" bottom="0.98425196850393704" header="0.51181102362204722" footer="0.51181102362204722"/>
  <pageSetup paperSize="9" scale="55" orientation="portrait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theme="7" tint="-0.249977111117893"/>
  </sheetPr>
  <dimension ref="A1:M67"/>
  <sheetViews>
    <sheetView topLeftCell="A25" zoomScaleNormal="100" workbookViewId="0">
      <selection activeCell="D31" sqref="D31"/>
    </sheetView>
  </sheetViews>
  <sheetFormatPr defaultRowHeight="13.5"/>
  <cols>
    <col min="1" max="1" width="18" bestFit="1" customWidth="1"/>
    <col min="2" max="2" width="11.375" bestFit="1" customWidth="1"/>
    <col min="3" max="3" width="14.25" bestFit="1" customWidth="1"/>
    <col min="4" max="4" width="18" bestFit="1" customWidth="1"/>
    <col min="5" max="5" width="16.375" bestFit="1" customWidth="1"/>
    <col min="6" max="7" width="9.125" bestFit="1" customWidth="1"/>
    <col min="8" max="8" width="14.125" bestFit="1" customWidth="1"/>
    <col min="9" max="9" width="13.625" bestFit="1" customWidth="1"/>
    <col min="10" max="12" width="9.125" bestFit="1" customWidth="1"/>
    <col min="13" max="13" width="11.625" bestFit="1" customWidth="1"/>
  </cols>
  <sheetData>
    <row r="1" spans="1:13" ht="27" customHeight="1">
      <c r="A1" s="107" t="s">
        <v>27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</row>
    <row r="2" spans="1:13" ht="29.25" customHeight="1"/>
    <row r="3" spans="1:13" s="1" customFormat="1" ht="33" customHeight="1">
      <c r="A3" s="17" t="s">
        <v>17</v>
      </c>
      <c r="B3" s="107" t="s">
        <v>21</v>
      </c>
      <c r="C3" s="107"/>
      <c r="D3" s="107"/>
      <c r="E3" s="107"/>
      <c r="F3" s="18" t="s">
        <v>19</v>
      </c>
      <c r="G3" s="1">
        <v>208</v>
      </c>
      <c r="H3" s="2"/>
      <c r="I3" s="3"/>
    </row>
    <row r="4" spans="1:13" s="1" customFormat="1" ht="33" customHeight="1">
      <c r="A4" s="17" t="s">
        <v>18</v>
      </c>
      <c r="B4" s="108" t="s">
        <v>22</v>
      </c>
      <c r="C4" s="108"/>
      <c r="D4" s="108"/>
      <c r="E4" s="108"/>
      <c r="F4" s="18" t="s">
        <v>20</v>
      </c>
      <c r="G4" s="1">
        <v>563</v>
      </c>
      <c r="H4" s="104" t="s">
        <v>25</v>
      </c>
      <c r="I4" s="104"/>
    </row>
    <row r="5" spans="1:13" s="17" customFormat="1" ht="33" customHeight="1">
      <c r="A5" s="19" t="s">
        <v>1</v>
      </c>
      <c r="B5" s="19" t="s">
        <v>2</v>
      </c>
      <c r="C5" s="20" t="s">
        <v>3</v>
      </c>
      <c r="D5" s="20" t="s">
        <v>6</v>
      </c>
      <c r="E5" s="19" t="s">
        <v>7</v>
      </c>
      <c r="F5" s="19" t="s">
        <v>8</v>
      </c>
      <c r="G5" s="19" t="s">
        <v>9</v>
      </c>
      <c r="H5" s="21" t="s">
        <v>10</v>
      </c>
      <c r="I5" s="22"/>
    </row>
    <row r="6" spans="1:13" s="1" customFormat="1" ht="33" customHeight="1">
      <c r="A6" s="12">
        <v>42095</v>
      </c>
      <c r="B6" s="9" t="s">
        <v>5</v>
      </c>
      <c r="C6" s="10">
        <v>11306824</v>
      </c>
      <c r="D6" s="12">
        <f t="shared" ref="D6:D18" si="0">A6</f>
        <v>42095</v>
      </c>
      <c r="E6" s="12">
        <v>42459</v>
      </c>
      <c r="F6" s="9">
        <v>365</v>
      </c>
      <c r="G6" s="9">
        <v>366</v>
      </c>
      <c r="H6" s="13">
        <f t="shared" ref="H6:H18" si="1">ROUNDDOWN(C6/100,0)*100</f>
        <v>11306800</v>
      </c>
      <c r="I6" s="11">
        <f t="shared" ref="I6:I18" si="2">ROUNDDOWN(H6*F6/G6,0)</f>
        <v>11275907</v>
      </c>
    </row>
    <row r="7" spans="1:13" s="1" customFormat="1" ht="33" customHeight="1">
      <c r="A7" s="12">
        <v>42119</v>
      </c>
      <c r="B7" s="9" t="s">
        <v>4</v>
      </c>
      <c r="C7" s="10">
        <v>70000</v>
      </c>
      <c r="D7" s="12">
        <f t="shared" si="0"/>
        <v>42119</v>
      </c>
      <c r="E7" s="12">
        <v>42459</v>
      </c>
      <c r="F7" s="9">
        <f>E7-A7+1</f>
        <v>341</v>
      </c>
      <c r="G7" s="9">
        <v>366</v>
      </c>
      <c r="H7" s="13">
        <f t="shared" si="1"/>
        <v>70000</v>
      </c>
      <c r="I7" s="11">
        <f t="shared" si="2"/>
        <v>65218</v>
      </c>
    </row>
    <row r="8" spans="1:13" s="1" customFormat="1" ht="33" customHeight="1">
      <c r="A8" s="12">
        <v>42149</v>
      </c>
      <c r="B8" s="9" t="s">
        <v>4</v>
      </c>
      <c r="C8" s="10">
        <v>70000</v>
      </c>
      <c r="D8" s="12">
        <f t="shared" si="0"/>
        <v>42149</v>
      </c>
      <c r="E8" s="12">
        <v>42459</v>
      </c>
      <c r="F8" s="9">
        <f>E8-A8+1</f>
        <v>311</v>
      </c>
      <c r="G8" s="9">
        <v>366</v>
      </c>
      <c r="H8" s="13">
        <f t="shared" si="1"/>
        <v>70000</v>
      </c>
      <c r="I8" s="11">
        <f t="shared" si="2"/>
        <v>59480</v>
      </c>
    </row>
    <row r="9" spans="1:13" s="1" customFormat="1" ht="33" customHeight="1">
      <c r="A9" s="12">
        <v>42180</v>
      </c>
      <c r="B9" s="9" t="s">
        <v>4</v>
      </c>
      <c r="C9" s="10">
        <v>70000</v>
      </c>
      <c r="D9" s="12">
        <f t="shared" si="0"/>
        <v>42180</v>
      </c>
      <c r="E9" s="12">
        <v>42459</v>
      </c>
      <c r="F9" s="9">
        <f>E9-A9+1</f>
        <v>280</v>
      </c>
      <c r="G9" s="9">
        <v>366</v>
      </c>
      <c r="H9" s="13">
        <f t="shared" si="1"/>
        <v>70000</v>
      </c>
      <c r="I9" s="11">
        <f t="shared" si="2"/>
        <v>53551</v>
      </c>
    </row>
    <row r="10" spans="1:13" s="1" customFormat="1" ht="33" customHeight="1">
      <c r="A10" s="12">
        <v>42210</v>
      </c>
      <c r="B10" s="9" t="s">
        <v>4</v>
      </c>
      <c r="C10" s="10">
        <v>70000</v>
      </c>
      <c r="D10" s="12">
        <f t="shared" si="0"/>
        <v>42210</v>
      </c>
      <c r="E10" s="12">
        <v>42459</v>
      </c>
      <c r="F10" s="9">
        <f>E10-A10+1</f>
        <v>250</v>
      </c>
      <c r="G10" s="9">
        <v>366</v>
      </c>
      <c r="H10" s="13">
        <f t="shared" si="1"/>
        <v>70000</v>
      </c>
      <c r="I10" s="11">
        <f t="shared" si="2"/>
        <v>47814</v>
      </c>
    </row>
    <row r="11" spans="1:13" s="1" customFormat="1" ht="33" customHeight="1">
      <c r="A11" s="12">
        <v>42241</v>
      </c>
      <c r="B11" s="9" t="s">
        <v>4</v>
      </c>
      <c r="C11" s="10">
        <v>70000</v>
      </c>
      <c r="D11" s="12">
        <f t="shared" si="0"/>
        <v>42241</v>
      </c>
      <c r="E11" s="12">
        <v>42459</v>
      </c>
      <c r="F11" s="9">
        <v>219</v>
      </c>
      <c r="G11" s="9">
        <v>366</v>
      </c>
      <c r="H11" s="13">
        <f t="shared" si="1"/>
        <v>70000</v>
      </c>
      <c r="I11" s="11">
        <f t="shared" si="2"/>
        <v>41885</v>
      </c>
    </row>
    <row r="12" spans="1:13" s="1" customFormat="1" ht="33" customHeight="1">
      <c r="A12" s="12">
        <v>42272</v>
      </c>
      <c r="B12" s="9" t="s">
        <v>4</v>
      </c>
      <c r="C12" s="10">
        <v>70000</v>
      </c>
      <c r="D12" s="12">
        <f t="shared" si="0"/>
        <v>42272</v>
      </c>
      <c r="E12" s="12">
        <v>42459</v>
      </c>
      <c r="F12" s="9">
        <f>E12-A12+1</f>
        <v>188</v>
      </c>
      <c r="G12" s="9">
        <v>366</v>
      </c>
      <c r="H12" s="13">
        <f t="shared" si="1"/>
        <v>70000</v>
      </c>
      <c r="I12" s="11">
        <f t="shared" si="2"/>
        <v>35956</v>
      </c>
    </row>
    <row r="13" spans="1:13" s="1" customFormat="1" ht="33" customHeight="1">
      <c r="A13" s="12">
        <v>42302</v>
      </c>
      <c r="B13" s="9" t="s">
        <v>4</v>
      </c>
      <c r="C13" s="10">
        <v>70000</v>
      </c>
      <c r="D13" s="12">
        <f t="shared" si="0"/>
        <v>42302</v>
      </c>
      <c r="E13" s="12">
        <v>42459</v>
      </c>
      <c r="F13" s="9">
        <f>E13-A13+1</f>
        <v>158</v>
      </c>
      <c r="G13" s="9">
        <v>366</v>
      </c>
      <c r="H13" s="13">
        <f t="shared" si="1"/>
        <v>70000</v>
      </c>
      <c r="I13" s="11">
        <f t="shared" si="2"/>
        <v>30218</v>
      </c>
    </row>
    <row r="14" spans="1:13" s="1" customFormat="1" ht="33" customHeight="1">
      <c r="A14" s="12">
        <v>42333</v>
      </c>
      <c r="B14" s="9" t="s">
        <v>4</v>
      </c>
      <c r="C14" s="10">
        <v>70000</v>
      </c>
      <c r="D14" s="12">
        <f t="shared" si="0"/>
        <v>42333</v>
      </c>
      <c r="E14" s="12">
        <v>42459</v>
      </c>
      <c r="F14" s="9">
        <f>E14-A14+1</f>
        <v>127</v>
      </c>
      <c r="G14" s="9">
        <v>366</v>
      </c>
      <c r="H14" s="13">
        <f t="shared" si="1"/>
        <v>70000</v>
      </c>
      <c r="I14" s="11">
        <f t="shared" si="2"/>
        <v>24289</v>
      </c>
    </row>
    <row r="15" spans="1:13" s="1" customFormat="1" ht="33" customHeight="1">
      <c r="A15" s="12">
        <v>42363</v>
      </c>
      <c r="B15" s="9" t="s">
        <v>4</v>
      </c>
      <c r="C15" s="10">
        <v>70000</v>
      </c>
      <c r="D15" s="12">
        <f t="shared" si="0"/>
        <v>42363</v>
      </c>
      <c r="E15" s="12">
        <v>42459</v>
      </c>
      <c r="F15" s="9">
        <f>E15-A15+1</f>
        <v>97</v>
      </c>
      <c r="G15" s="9">
        <v>366</v>
      </c>
      <c r="H15" s="13">
        <f t="shared" si="1"/>
        <v>70000</v>
      </c>
      <c r="I15" s="11">
        <f t="shared" si="2"/>
        <v>18551</v>
      </c>
    </row>
    <row r="16" spans="1:13" s="1" customFormat="1" ht="33" customHeight="1" thickBot="1">
      <c r="A16" s="12">
        <v>42394</v>
      </c>
      <c r="B16" s="9" t="s">
        <v>4</v>
      </c>
      <c r="C16" s="10">
        <v>70000</v>
      </c>
      <c r="D16" s="12">
        <f t="shared" si="0"/>
        <v>42394</v>
      </c>
      <c r="E16" s="12">
        <v>42459</v>
      </c>
      <c r="F16" s="9">
        <f>E16-A16+1</f>
        <v>66</v>
      </c>
      <c r="G16" s="9">
        <v>366</v>
      </c>
      <c r="H16" s="13">
        <f t="shared" si="1"/>
        <v>70000</v>
      </c>
      <c r="I16" s="11">
        <f t="shared" si="2"/>
        <v>12622</v>
      </c>
    </row>
    <row r="17" spans="1:13" s="1" customFormat="1" ht="33" customHeight="1" thickBot="1">
      <c r="A17" s="12">
        <v>42425</v>
      </c>
      <c r="B17" s="9" t="s">
        <v>4</v>
      </c>
      <c r="C17" s="10">
        <v>70000</v>
      </c>
      <c r="D17" s="12">
        <f t="shared" si="0"/>
        <v>42425</v>
      </c>
      <c r="E17" s="12">
        <v>42459</v>
      </c>
      <c r="F17" s="9">
        <v>35</v>
      </c>
      <c r="G17" s="9">
        <v>366</v>
      </c>
      <c r="H17" s="13">
        <f t="shared" si="1"/>
        <v>70000</v>
      </c>
      <c r="I17" s="11">
        <f t="shared" si="2"/>
        <v>6693</v>
      </c>
      <c r="J17" s="105" t="s">
        <v>15</v>
      </c>
      <c r="K17" s="105"/>
      <c r="L17" s="105"/>
      <c r="M17" s="106"/>
    </row>
    <row r="18" spans="1:13" s="1" customFormat="1" ht="33" customHeight="1">
      <c r="A18" s="12">
        <v>42454</v>
      </c>
      <c r="B18" s="9" t="s">
        <v>4</v>
      </c>
      <c r="C18" s="10">
        <v>70000</v>
      </c>
      <c r="D18" s="12">
        <f t="shared" si="0"/>
        <v>42454</v>
      </c>
      <c r="E18" s="12">
        <v>42459</v>
      </c>
      <c r="F18" s="27">
        <v>6</v>
      </c>
      <c r="G18" s="9">
        <v>366</v>
      </c>
      <c r="H18" s="13">
        <f t="shared" si="1"/>
        <v>70000</v>
      </c>
      <c r="I18" s="11">
        <f t="shared" si="2"/>
        <v>1147</v>
      </c>
      <c r="J18" s="31" t="s">
        <v>11</v>
      </c>
      <c r="K18" s="32" t="s">
        <v>12</v>
      </c>
      <c r="L18" s="32" t="s">
        <v>13</v>
      </c>
      <c r="M18" s="33" t="s">
        <v>14</v>
      </c>
    </row>
    <row r="19" spans="1:13" s="1" customFormat="1" ht="33" customHeight="1" thickBot="1">
      <c r="A19" s="9"/>
      <c r="B19" s="9"/>
      <c r="C19" s="10">
        <f>SUM(C6:C18)</f>
        <v>12146824</v>
      </c>
      <c r="D19" s="9"/>
      <c r="E19" s="9"/>
      <c r="F19" s="9"/>
      <c r="G19" s="9"/>
      <c r="H19" s="13"/>
      <c r="I19" s="11">
        <f>SUM(I6:I18)</f>
        <v>11673331</v>
      </c>
      <c r="J19" s="28">
        <f>ROUNDDOWN(I19*1.6/100,0)</f>
        <v>186773</v>
      </c>
      <c r="K19" s="29">
        <f>ROUNDDOWN(J19*0.15315,0)</f>
        <v>28604</v>
      </c>
      <c r="L19" s="29">
        <f>ROUNDDOWN(J19*0.05,0)</f>
        <v>9338</v>
      </c>
      <c r="M19" s="30">
        <f>J19-K19-L19</f>
        <v>148831</v>
      </c>
    </row>
    <row r="20" spans="1:13" s="1" customFormat="1" ht="33" customHeight="1">
      <c r="H20" s="2"/>
      <c r="I20" s="3"/>
    </row>
    <row r="21" spans="1:13" s="4" customFormat="1" ht="33" customHeight="1">
      <c r="A21" s="103" t="s">
        <v>26</v>
      </c>
      <c r="B21" s="103"/>
      <c r="C21" s="103"/>
      <c r="D21" s="26">
        <v>12295655</v>
      </c>
      <c r="E21" s="25" t="s">
        <v>24</v>
      </c>
      <c r="H21" s="5"/>
      <c r="I21" s="23"/>
      <c r="J21" s="5"/>
      <c r="K21" s="5"/>
      <c r="L21" s="5"/>
      <c r="M21" s="5"/>
    </row>
    <row r="22" spans="1:13" s="4" customFormat="1" ht="33" customHeight="1">
      <c r="A22" s="24"/>
      <c r="B22" s="24"/>
      <c r="C22" s="24"/>
      <c r="D22" s="26"/>
      <c r="E22" s="25"/>
      <c r="H22" s="5"/>
      <c r="I22" s="23"/>
      <c r="J22" s="5"/>
      <c r="K22" s="5"/>
      <c r="L22" s="5"/>
      <c r="M22" s="5"/>
    </row>
    <row r="23" spans="1:13" s="4" customFormat="1" ht="33" customHeight="1">
      <c r="A23" s="24"/>
      <c r="B23" s="24"/>
      <c r="C23" s="24"/>
      <c r="D23" s="26"/>
      <c r="E23" s="25"/>
      <c r="H23" s="5"/>
      <c r="I23" s="23"/>
      <c r="J23" s="5"/>
      <c r="K23" s="5"/>
      <c r="L23" s="5"/>
      <c r="M23" s="5"/>
    </row>
    <row r="24" spans="1:13" ht="33" customHeight="1"/>
    <row r="25" spans="1:13" s="1" customFormat="1" ht="33" customHeight="1">
      <c r="A25" s="107" t="s">
        <v>27</v>
      </c>
      <c r="B25" s="107"/>
      <c r="C25" s="107"/>
      <c r="D25" s="107"/>
      <c r="E25" s="107"/>
      <c r="F25" s="107"/>
      <c r="G25" s="107"/>
      <c r="H25" s="107"/>
      <c r="I25" s="107"/>
      <c r="J25" s="107"/>
      <c r="K25" s="107"/>
      <c r="L25" s="107"/>
      <c r="M25" s="107"/>
    </row>
    <row r="26" spans="1:13" s="1" customFormat="1" ht="33" customHeight="1">
      <c r="A26" s="17" t="s">
        <v>17</v>
      </c>
      <c r="B26" s="107" t="s">
        <v>43</v>
      </c>
      <c r="C26" s="107"/>
      <c r="D26" s="107"/>
      <c r="E26" s="107"/>
      <c r="F26" s="18" t="s">
        <v>19</v>
      </c>
      <c r="G26" s="1">
        <v>874</v>
      </c>
      <c r="H26" s="2"/>
      <c r="I26" s="3"/>
    </row>
    <row r="27" spans="1:13" s="1" customFormat="1" ht="33" customHeight="1">
      <c r="A27" s="17" t="s">
        <v>18</v>
      </c>
      <c r="B27" s="108" t="s">
        <v>44</v>
      </c>
      <c r="C27" s="108"/>
      <c r="D27" s="108"/>
      <c r="E27" s="108"/>
      <c r="F27" s="18" t="s">
        <v>20</v>
      </c>
      <c r="G27" s="1">
        <v>249</v>
      </c>
      <c r="H27" s="109" t="s">
        <v>45</v>
      </c>
      <c r="I27" s="109"/>
    </row>
    <row r="28" spans="1:13" s="1" customFormat="1" ht="33" customHeight="1">
      <c r="A28" s="9" t="s">
        <v>1</v>
      </c>
      <c r="B28" s="9" t="s">
        <v>2</v>
      </c>
      <c r="C28" s="10" t="s">
        <v>3</v>
      </c>
      <c r="D28" s="10" t="s">
        <v>6</v>
      </c>
      <c r="E28" s="9" t="s">
        <v>7</v>
      </c>
      <c r="F28" s="9" t="s">
        <v>8</v>
      </c>
      <c r="G28" s="9" t="s">
        <v>9</v>
      </c>
      <c r="H28" s="13" t="s">
        <v>10</v>
      </c>
      <c r="I28" s="11"/>
    </row>
    <row r="29" spans="1:13" s="1" customFormat="1" ht="33" customHeight="1">
      <c r="A29" s="12">
        <v>42826</v>
      </c>
      <c r="B29" s="9" t="s">
        <v>5</v>
      </c>
      <c r="C29" s="10">
        <v>511514</v>
      </c>
      <c r="D29" s="12">
        <f t="shared" ref="D29:D42" si="3">A29</f>
        <v>42826</v>
      </c>
      <c r="E29" s="12">
        <v>43185</v>
      </c>
      <c r="F29" s="9">
        <v>360</v>
      </c>
      <c r="G29" s="9">
        <v>365</v>
      </c>
      <c r="H29" s="13">
        <f t="shared" ref="H29:H42" si="4">ROUNDDOWN(C29/100,0)*100</f>
        <v>511500</v>
      </c>
      <c r="I29" s="11">
        <f t="shared" ref="I29:I42" si="5">ROUNDDOWN(H29*F29/G29,0)</f>
        <v>504493</v>
      </c>
    </row>
    <row r="30" spans="1:13" s="1" customFormat="1" ht="33" customHeight="1">
      <c r="A30" s="12">
        <v>42850</v>
      </c>
      <c r="B30" s="9" t="s">
        <v>4</v>
      </c>
      <c r="C30" s="10">
        <v>10000</v>
      </c>
      <c r="D30" s="12">
        <f t="shared" si="3"/>
        <v>42850</v>
      </c>
      <c r="E30" s="12">
        <v>43185</v>
      </c>
      <c r="F30" s="9">
        <f t="shared" ref="F30:F36" si="6">E30-A30+1</f>
        <v>336</v>
      </c>
      <c r="G30" s="9">
        <v>365</v>
      </c>
      <c r="H30" s="13">
        <f t="shared" si="4"/>
        <v>10000</v>
      </c>
      <c r="I30" s="11">
        <f t="shared" si="5"/>
        <v>9205</v>
      </c>
    </row>
    <row r="31" spans="1:13" s="1" customFormat="1" ht="33" customHeight="1">
      <c r="A31" s="12">
        <v>42880</v>
      </c>
      <c r="B31" s="9" t="s">
        <v>4</v>
      </c>
      <c r="C31" s="10">
        <v>10000</v>
      </c>
      <c r="D31" s="12">
        <f t="shared" si="3"/>
        <v>42880</v>
      </c>
      <c r="E31" s="12">
        <v>43185</v>
      </c>
      <c r="F31" s="9">
        <f t="shared" si="6"/>
        <v>306</v>
      </c>
      <c r="G31" s="9">
        <v>365</v>
      </c>
      <c r="H31" s="13">
        <f t="shared" si="4"/>
        <v>10000</v>
      </c>
      <c r="I31" s="11">
        <f t="shared" si="5"/>
        <v>8383</v>
      </c>
    </row>
    <row r="32" spans="1:13" s="1" customFormat="1" ht="33" customHeight="1">
      <c r="A32" s="12">
        <v>42911</v>
      </c>
      <c r="B32" s="9" t="s">
        <v>4</v>
      </c>
      <c r="C32" s="10">
        <v>10000</v>
      </c>
      <c r="D32" s="12">
        <f t="shared" si="3"/>
        <v>42911</v>
      </c>
      <c r="E32" s="12">
        <v>43185</v>
      </c>
      <c r="F32" s="9">
        <f t="shared" si="6"/>
        <v>275</v>
      </c>
      <c r="G32" s="9">
        <v>365</v>
      </c>
      <c r="H32" s="13">
        <f t="shared" si="4"/>
        <v>10000</v>
      </c>
      <c r="I32" s="11">
        <f t="shared" si="5"/>
        <v>7534</v>
      </c>
    </row>
    <row r="33" spans="1:13" s="1" customFormat="1" ht="33" customHeight="1">
      <c r="A33" s="12">
        <v>42936</v>
      </c>
      <c r="B33" s="9" t="s">
        <v>46</v>
      </c>
      <c r="C33" s="10">
        <v>-400000</v>
      </c>
      <c r="D33" s="12">
        <f>A33</f>
        <v>42936</v>
      </c>
      <c r="E33" s="12">
        <v>43185</v>
      </c>
      <c r="F33" s="9">
        <f t="shared" si="6"/>
        <v>250</v>
      </c>
      <c r="G33" s="9">
        <v>365</v>
      </c>
      <c r="H33" s="13">
        <f t="shared" si="4"/>
        <v>-400000</v>
      </c>
      <c r="I33" s="11">
        <f t="shared" si="5"/>
        <v>-273972</v>
      </c>
    </row>
    <row r="34" spans="1:13" s="1" customFormat="1" ht="33" customHeight="1">
      <c r="A34" s="12">
        <v>42941</v>
      </c>
      <c r="B34" s="9" t="s">
        <v>4</v>
      </c>
      <c r="C34" s="10">
        <v>10000</v>
      </c>
      <c r="D34" s="12">
        <f t="shared" si="3"/>
        <v>42941</v>
      </c>
      <c r="E34" s="12">
        <v>43185</v>
      </c>
      <c r="F34" s="9">
        <f t="shared" si="6"/>
        <v>245</v>
      </c>
      <c r="G34" s="9">
        <v>365</v>
      </c>
      <c r="H34" s="13">
        <f t="shared" si="4"/>
        <v>10000</v>
      </c>
      <c r="I34" s="11">
        <f t="shared" si="5"/>
        <v>6712</v>
      </c>
    </row>
    <row r="35" spans="1:13" s="1" customFormat="1" ht="33" customHeight="1">
      <c r="A35" s="12">
        <v>42972</v>
      </c>
      <c r="B35" s="9" t="s">
        <v>4</v>
      </c>
      <c r="C35" s="10">
        <v>10000</v>
      </c>
      <c r="D35" s="12">
        <f t="shared" si="3"/>
        <v>42972</v>
      </c>
      <c r="E35" s="12">
        <v>43185</v>
      </c>
      <c r="F35" s="9">
        <f t="shared" si="6"/>
        <v>214</v>
      </c>
      <c r="G35" s="9">
        <v>365</v>
      </c>
      <c r="H35" s="13">
        <f t="shared" si="4"/>
        <v>10000</v>
      </c>
      <c r="I35" s="11">
        <f t="shared" si="5"/>
        <v>5863</v>
      </c>
    </row>
    <row r="36" spans="1:13" s="1" customFormat="1" ht="33" customHeight="1">
      <c r="A36" s="12">
        <v>43003</v>
      </c>
      <c r="B36" s="9" t="s">
        <v>4</v>
      </c>
      <c r="C36" s="10">
        <v>10000</v>
      </c>
      <c r="D36" s="12">
        <f t="shared" si="3"/>
        <v>43003</v>
      </c>
      <c r="E36" s="12">
        <v>43185</v>
      </c>
      <c r="F36" s="9">
        <f t="shared" si="6"/>
        <v>183</v>
      </c>
      <c r="G36" s="9">
        <v>365</v>
      </c>
      <c r="H36" s="13">
        <f t="shared" si="4"/>
        <v>10000</v>
      </c>
      <c r="I36" s="11">
        <f t="shared" si="5"/>
        <v>5013</v>
      </c>
    </row>
    <row r="37" spans="1:13" s="1" customFormat="1" ht="33" customHeight="1">
      <c r="A37" s="12">
        <v>43033</v>
      </c>
      <c r="B37" s="9" t="s">
        <v>4</v>
      </c>
      <c r="C37" s="10">
        <v>10000</v>
      </c>
      <c r="D37" s="12">
        <f t="shared" si="3"/>
        <v>43033</v>
      </c>
      <c r="E37" s="12">
        <v>43185</v>
      </c>
      <c r="F37" s="9">
        <f>E37-A37+1</f>
        <v>153</v>
      </c>
      <c r="G37" s="9">
        <v>365</v>
      </c>
      <c r="H37" s="13">
        <f t="shared" si="4"/>
        <v>10000</v>
      </c>
      <c r="I37" s="11">
        <f t="shared" si="5"/>
        <v>4191</v>
      </c>
    </row>
    <row r="38" spans="1:13" s="1" customFormat="1" ht="33" customHeight="1">
      <c r="A38" s="12">
        <v>43064</v>
      </c>
      <c r="B38" s="9" t="s">
        <v>4</v>
      </c>
      <c r="C38" s="10">
        <v>10000</v>
      </c>
      <c r="D38" s="12">
        <f t="shared" si="3"/>
        <v>43064</v>
      </c>
      <c r="E38" s="12">
        <v>43185</v>
      </c>
      <c r="F38" s="9">
        <f>E38-A38+1</f>
        <v>122</v>
      </c>
      <c r="G38" s="9">
        <v>365</v>
      </c>
      <c r="H38" s="13">
        <f t="shared" si="4"/>
        <v>10000</v>
      </c>
      <c r="I38" s="11">
        <f t="shared" si="5"/>
        <v>3342</v>
      </c>
    </row>
    <row r="39" spans="1:13" s="1" customFormat="1" ht="33" customHeight="1">
      <c r="A39" s="12">
        <v>43094</v>
      </c>
      <c r="B39" s="9" t="s">
        <v>4</v>
      </c>
      <c r="C39" s="10">
        <v>10000</v>
      </c>
      <c r="D39" s="12">
        <f t="shared" si="3"/>
        <v>43094</v>
      </c>
      <c r="E39" s="12">
        <v>43185</v>
      </c>
      <c r="F39" s="9">
        <f>E39-A39+1</f>
        <v>92</v>
      </c>
      <c r="G39" s="9">
        <v>365</v>
      </c>
      <c r="H39" s="13">
        <f t="shared" si="4"/>
        <v>10000</v>
      </c>
      <c r="I39" s="11">
        <f t="shared" si="5"/>
        <v>2520</v>
      </c>
    </row>
    <row r="40" spans="1:13" s="1" customFormat="1" ht="33" customHeight="1" thickBot="1">
      <c r="A40" s="12">
        <v>43125</v>
      </c>
      <c r="B40" s="9" t="s">
        <v>4</v>
      </c>
      <c r="C40" s="10">
        <v>10000</v>
      </c>
      <c r="D40" s="12">
        <f t="shared" si="3"/>
        <v>43125</v>
      </c>
      <c r="E40" s="12">
        <v>43185</v>
      </c>
      <c r="F40" s="9">
        <f>E40-A40+1</f>
        <v>61</v>
      </c>
      <c r="G40" s="9">
        <v>365</v>
      </c>
      <c r="H40" s="13">
        <f t="shared" si="4"/>
        <v>10000</v>
      </c>
      <c r="I40" s="11">
        <f t="shared" si="5"/>
        <v>1671</v>
      </c>
    </row>
    <row r="41" spans="1:13" s="1" customFormat="1" ht="33" customHeight="1" thickBot="1">
      <c r="A41" s="12">
        <v>43156</v>
      </c>
      <c r="B41" s="9" t="s">
        <v>4</v>
      </c>
      <c r="C41" s="10">
        <v>10000</v>
      </c>
      <c r="D41" s="12">
        <f t="shared" si="3"/>
        <v>43156</v>
      </c>
      <c r="E41" s="12">
        <v>43185</v>
      </c>
      <c r="F41" s="9">
        <f>E41-A41+1</f>
        <v>30</v>
      </c>
      <c r="G41" s="9">
        <v>365</v>
      </c>
      <c r="H41" s="13">
        <f t="shared" si="4"/>
        <v>10000</v>
      </c>
      <c r="I41" s="11">
        <f t="shared" si="5"/>
        <v>821</v>
      </c>
      <c r="J41" s="105" t="s">
        <v>15</v>
      </c>
      <c r="K41" s="105"/>
      <c r="L41" s="105"/>
      <c r="M41" s="106"/>
    </row>
    <row r="42" spans="1:13" s="1" customFormat="1" ht="33" customHeight="1">
      <c r="A42" s="12">
        <v>43184</v>
      </c>
      <c r="B42" s="9" t="s">
        <v>4</v>
      </c>
      <c r="C42" s="10">
        <v>10000</v>
      </c>
      <c r="D42" s="12">
        <f t="shared" si="3"/>
        <v>43184</v>
      </c>
      <c r="E42" s="12">
        <v>43185</v>
      </c>
      <c r="F42" s="27">
        <v>2</v>
      </c>
      <c r="G42" s="9">
        <v>365</v>
      </c>
      <c r="H42" s="13">
        <f t="shared" si="4"/>
        <v>10000</v>
      </c>
      <c r="I42" s="11">
        <f t="shared" si="5"/>
        <v>54</v>
      </c>
      <c r="J42" s="34" t="s">
        <v>11</v>
      </c>
      <c r="K42" s="35" t="s">
        <v>12</v>
      </c>
      <c r="L42" s="35" t="s">
        <v>13</v>
      </c>
      <c r="M42" s="36" t="s">
        <v>14</v>
      </c>
    </row>
    <row r="43" spans="1:13" s="1" customFormat="1" ht="33" customHeight="1" thickBot="1">
      <c r="A43" s="9"/>
      <c r="B43" s="9"/>
      <c r="C43" s="10">
        <f>SUM(C29:C42)</f>
        <v>231514</v>
      </c>
      <c r="D43" s="9"/>
      <c r="E43" s="9"/>
      <c r="F43" s="9"/>
      <c r="G43" s="9"/>
      <c r="H43" s="13"/>
      <c r="I43" s="11">
        <f>SUM(I29:I42)</f>
        <v>285830</v>
      </c>
      <c r="J43" s="14">
        <f>ROUNDDOWN(I43*1.5/100,0)</f>
        <v>4287</v>
      </c>
      <c r="K43" s="15">
        <f>ROUNDDOWN(J43*0.15315,0)</f>
        <v>656</v>
      </c>
      <c r="L43" s="15">
        <f>ROUNDDOWN(J43*0.05,0)</f>
        <v>214</v>
      </c>
      <c r="M43" s="16">
        <f>J43-K43-L43</f>
        <v>3417</v>
      </c>
    </row>
    <row r="45" spans="1:13" s="4" customFormat="1" ht="32.25" customHeight="1">
      <c r="A45" s="103" t="s">
        <v>26</v>
      </c>
      <c r="B45" s="103"/>
      <c r="C45" s="103"/>
      <c r="D45" s="26">
        <f>C43+M43</f>
        <v>234931</v>
      </c>
      <c r="E45" s="25" t="s">
        <v>24</v>
      </c>
      <c r="H45" s="5"/>
      <c r="I45" s="23"/>
      <c r="J45" s="5"/>
      <c r="K45" s="5"/>
      <c r="L45" s="5"/>
      <c r="M45" s="5"/>
    </row>
    <row r="46" spans="1:13" ht="45" customHeight="1"/>
    <row r="47" spans="1:13" ht="29.25" customHeight="1">
      <c r="A47" s="107" t="s">
        <v>27</v>
      </c>
      <c r="B47" s="107"/>
      <c r="C47" s="107"/>
      <c r="D47" s="107"/>
      <c r="E47" s="107"/>
      <c r="F47" s="107"/>
      <c r="G47" s="107"/>
      <c r="H47" s="107"/>
      <c r="I47" s="107"/>
      <c r="J47" s="107"/>
      <c r="K47" s="107"/>
      <c r="L47" s="107"/>
      <c r="M47" s="107"/>
    </row>
    <row r="48" spans="1:13" ht="29.25" customHeight="1">
      <c r="A48" s="17" t="s">
        <v>17</v>
      </c>
      <c r="B48" s="107" t="s">
        <v>43</v>
      </c>
      <c r="C48" s="107"/>
      <c r="D48" s="107"/>
      <c r="E48" s="107"/>
      <c r="F48" s="18" t="s">
        <v>19</v>
      </c>
      <c r="G48" s="1">
        <v>874</v>
      </c>
      <c r="H48" s="2"/>
      <c r="I48" s="3"/>
      <c r="J48" s="1"/>
      <c r="K48" s="1"/>
      <c r="L48" s="1"/>
      <c r="M48" s="1"/>
    </row>
    <row r="49" spans="1:13" ht="29.25" customHeight="1">
      <c r="A49" s="17" t="s">
        <v>18</v>
      </c>
      <c r="B49" s="108" t="s">
        <v>44</v>
      </c>
      <c r="C49" s="108"/>
      <c r="D49" s="108"/>
      <c r="E49" s="108"/>
      <c r="F49" s="18" t="s">
        <v>20</v>
      </c>
      <c r="G49" s="1">
        <v>249</v>
      </c>
      <c r="H49" s="109" t="s">
        <v>45</v>
      </c>
      <c r="I49" s="109"/>
      <c r="J49" s="1"/>
      <c r="K49" s="1"/>
      <c r="L49" s="1"/>
      <c r="M49" s="1"/>
    </row>
    <row r="50" spans="1:13" ht="29.25" customHeight="1">
      <c r="A50" s="9" t="s">
        <v>1</v>
      </c>
      <c r="B50" s="9" t="s">
        <v>2</v>
      </c>
      <c r="C50" s="10" t="s">
        <v>3</v>
      </c>
      <c r="D50" s="10" t="s">
        <v>6</v>
      </c>
      <c r="E50" s="9" t="s">
        <v>7</v>
      </c>
      <c r="F50" s="9" t="s">
        <v>8</v>
      </c>
      <c r="G50" s="9" t="s">
        <v>9</v>
      </c>
      <c r="H50" s="13" t="s">
        <v>10</v>
      </c>
      <c r="I50" s="11"/>
      <c r="J50" s="1"/>
      <c r="K50" s="1"/>
      <c r="L50" s="1"/>
      <c r="M50" s="1"/>
    </row>
    <row r="51" spans="1:13" ht="29.25" customHeight="1">
      <c r="A51" s="12">
        <v>42826</v>
      </c>
      <c r="B51" s="9" t="s">
        <v>5</v>
      </c>
      <c r="C51" s="10">
        <v>511514</v>
      </c>
      <c r="D51" s="12">
        <f t="shared" ref="D51:D64" si="7">A51</f>
        <v>42826</v>
      </c>
      <c r="E51" s="12">
        <v>43190</v>
      </c>
      <c r="F51" s="9">
        <v>365</v>
      </c>
      <c r="G51" s="9">
        <v>365</v>
      </c>
      <c r="H51" s="13">
        <f t="shared" ref="H51:H64" si="8">ROUNDDOWN(C51/100,0)*100</f>
        <v>511500</v>
      </c>
      <c r="I51" s="11">
        <f t="shared" ref="I51:I64" si="9">ROUNDDOWN(H51*F51/G51,0)</f>
        <v>511500</v>
      </c>
      <c r="J51" s="1"/>
      <c r="K51" s="1"/>
      <c r="L51" s="1"/>
      <c r="M51" s="1"/>
    </row>
    <row r="52" spans="1:13" ht="29.25" customHeight="1">
      <c r="A52" s="12">
        <v>42850</v>
      </c>
      <c r="B52" s="9" t="s">
        <v>4</v>
      </c>
      <c r="C52" s="10">
        <v>10000</v>
      </c>
      <c r="D52" s="12">
        <f t="shared" si="7"/>
        <v>42850</v>
      </c>
      <c r="E52" s="12">
        <v>43190</v>
      </c>
      <c r="F52" s="9">
        <f t="shared" ref="F52:F57" si="10">E52-A52+1</f>
        <v>341</v>
      </c>
      <c r="G52" s="9">
        <v>365</v>
      </c>
      <c r="H52" s="13">
        <f t="shared" si="8"/>
        <v>10000</v>
      </c>
      <c r="I52" s="11">
        <f t="shared" si="9"/>
        <v>9342</v>
      </c>
      <c r="J52" s="1"/>
      <c r="K52" s="1"/>
      <c r="L52" s="1"/>
      <c r="M52" s="1"/>
    </row>
    <row r="53" spans="1:13" ht="29.25" customHeight="1">
      <c r="A53" s="12">
        <v>42880</v>
      </c>
      <c r="B53" s="9" t="s">
        <v>4</v>
      </c>
      <c r="C53" s="10">
        <v>10000</v>
      </c>
      <c r="D53" s="12">
        <f t="shared" si="7"/>
        <v>42880</v>
      </c>
      <c r="E53" s="12">
        <v>43190</v>
      </c>
      <c r="F53" s="9">
        <f t="shared" si="10"/>
        <v>311</v>
      </c>
      <c r="G53" s="9">
        <v>365</v>
      </c>
      <c r="H53" s="13">
        <f t="shared" si="8"/>
        <v>10000</v>
      </c>
      <c r="I53" s="11">
        <f t="shared" si="9"/>
        <v>8520</v>
      </c>
      <c r="J53" s="1"/>
      <c r="K53" s="1"/>
      <c r="L53" s="1"/>
      <c r="M53" s="1"/>
    </row>
    <row r="54" spans="1:13" ht="29.25" customHeight="1">
      <c r="A54" s="12">
        <v>42911</v>
      </c>
      <c r="B54" s="9" t="s">
        <v>4</v>
      </c>
      <c r="C54" s="10">
        <v>10000</v>
      </c>
      <c r="D54" s="12">
        <f t="shared" si="7"/>
        <v>42911</v>
      </c>
      <c r="E54" s="12">
        <v>43190</v>
      </c>
      <c r="F54" s="9">
        <f t="shared" si="10"/>
        <v>280</v>
      </c>
      <c r="G54" s="9">
        <v>365</v>
      </c>
      <c r="H54" s="13">
        <f t="shared" si="8"/>
        <v>10000</v>
      </c>
      <c r="I54" s="11">
        <f t="shared" si="9"/>
        <v>7671</v>
      </c>
      <c r="J54" s="1"/>
      <c r="K54" s="1"/>
      <c r="L54" s="1"/>
      <c r="M54" s="1"/>
    </row>
    <row r="55" spans="1:13" ht="29.25" customHeight="1">
      <c r="A55" s="12">
        <v>42936</v>
      </c>
      <c r="B55" s="9" t="s">
        <v>46</v>
      </c>
      <c r="C55" s="10">
        <v>-400000</v>
      </c>
      <c r="D55" s="12">
        <f t="shared" si="7"/>
        <v>42936</v>
      </c>
      <c r="E55" s="12">
        <v>43190</v>
      </c>
      <c r="F55" s="9">
        <f t="shared" si="10"/>
        <v>255</v>
      </c>
      <c r="G55" s="9">
        <v>365</v>
      </c>
      <c r="H55" s="13">
        <f t="shared" si="8"/>
        <v>-400000</v>
      </c>
      <c r="I55" s="11">
        <f t="shared" si="9"/>
        <v>-279452</v>
      </c>
      <c r="J55" s="1"/>
      <c r="K55" s="1"/>
      <c r="L55" s="1"/>
      <c r="M55" s="1"/>
    </row>
    <row r="56" spans="1:13" ht="29.25" customHeight="1">
      <c r="A56" s="12">
        <v>42941</v>
      </c>
      <c r="B56" s="9" t="s">
        <v>4</v>
      </c>
      <c r="C56" s="10">
        <v>10000</v>
      </c>
      <c r="D56" s="12">
        <f t="shared" si="7"/>
        <v>42941</v>
      </c>
      <c r="E56" s="12">
        <v>43190</v>
      </c>
      <c r="F56" s="9">
        <f t="shared" si="10"/>
        <v>250</v>
      </c>
      <c r="G56" s="9">
        <v>365</v>
      </c>
      <c r="H56" s="13">
        <f t="shared" si="8"/>
        <v>10000</v>
      </c>
      <c r="I56" s="11">
        <f t="shared" si="9"/>
        <v>6849</v>
      </c>
      <c r="J56" s="1"/>
      <c r="K56" s="1"/>
      <c r="L56" s="1"/>
      <c r="M56" s="1"/>
    </row>
    <row r="57" spans="1:13" ht="29.25" customHeight="1">
      <c r="A57" s="12">
        <v>42972</v>
      </c>
      <c r="B57" s="9" t="s">
        <v>4</v>
      </c>
      <c r="C57" s="10">
        <v>10000</v>
      </c>
      <c r="D57" s="12">
        <f t="shared" si="7"/>
        <v>42972</v>
      </c>
      <c r="E57" s="12">
        <v>43190</v>
      </c>
      <c r="F57" s="9">
        <f t="shared" si="10"/>
        <v>219</v>
      </c>
      <c r="G57" s="9">
        <v>365</v>
      </c>
      <c r="H57" s="13">
        <f t="shared" si="8"/>
        <v>10000</v>
      </c>
      <c r="I57" s="11">
        <f t="shared" si="9"/>
        <v>6000</v>
      </c>
      <c r="J57" s="1"/>
      <c r="K57" s="1"/>
      <c r="L57" s="1"/>
      <c r="M57" s="1"/>
    </row>
    <row r="58" spans="1:13" ht="29.25" customHeight="1">
      <c r="A58" s="12">
        <v>43003</v>
      </c>
      <c r="B58" s="9" t="s">
        <v>4</v>
      </c>
      <c r="C58" s="10">
        <v>10000</v>
      </c>
      <c r="D58" s="12">
        <f t="shared" si="7"/>
        <v>43003</v>
      </c>
      <c r="E58" s="12">
        <v>43190</v>
      </c>
      <c r="F58" s="9">
        <f t="shared" ref="F58:F64" si="11">E58-A58+1</f>
        <v>188</v>
      </c>
      <c r="G58" s="9">
        <v>365</v>
      </c>
      <c r="H58" s="13">
        <f t="shared" si="8"/>
        <v>10000</v>
      </c>
      <c r="I58" s="11">
        <f t="shared" si="9"/>
        <v>5150</v>
      </c>
      <c r="J58" s="1"/>
      <c r="K58" s="1"/>
      <c r="L58" s="1"/>
      <c r="M58" s="1"/>
    </row>
    <row r="59" spans="1:13" ht="29.25" customHeight="1">
      <c r="A59" s="12">
        <v>43033</v>
      </c>
      <c r="B59" s="9" t="s">
        <v>4</v>
      </c>
      <c r="C59" s="10">
        <v>10000</v>
      </c>
      <c r="D59" s="12">
        <f t="shared" si="7"/>
        <v>43033</v>
      </c>
      <c r="E59" s="12">
        <v>43190</v>
      </c>
      <c r="F59" s="9">
        <f t="shared" si="11"/>
        <v>158</v>
      </c>
      <c r="G59" s="9">
        <v>365</v>
      </c>
      <c r="H59" s="13">
        <f t="shared" si="8"/>
        <v>10000</v>
      </c>
      <c r="I59" s="11">
        <f t="shared" si="9"/>
        <v>4328</v>
      </c>
      <c r="J59" s="1"/>
      <c r="K59" s="1"/>
      <c r="L59" s="1"/>
      <c r="M59" s="1"/>
    </row>
    <row r="60" spans="1:13" ht="29.25" customHeight="1">
      <c r="A60" s="12">
        <v>43064</v>
      </c>
      <c r="B60" s="9" t="s">
        <v>4</v>
      </c>
      <c r="C60" s="10">
        <v>10000</v>
      </c>
      <c r="D60" s="12">
        <f t="shared" si="7"/>
        <v>43064</v>
      </c>
      <c r="E60" s="12">
        <v>43190</v>
      </c>
      <c r="F60" s="9">
        <f t="shared" si="11"/>
        <v>127</v>
      </c>
      <c r="G60" s="9">
        <v>365</v>
      </c>
      <c r="H60" s="13">
        <f t="shared" si="8"/>
        <v>10000</v>
      </c>
      <c r="I60" s="11">
        <f t="shared" si="9"/>
        <v>3479</v>
      </c>
      <c r="J60" s="1"/>
      <c r="K60" s="1"/>
      <c r="L60" s="1"/>
      <c r="M60" s="1"/>
    </row>
    <row r="61" spans="1:13" ht="29.25" customHeight="1">
      <c r="A61" s="12">
        <v>43094</v>
      </c>
      <c r="B61" s="9" t="s">
        <v>4</v>
      </c>
      <c r="C61" s="10">
        <v>10000</v>
      </c>
      <c r="D61" s="12">
        <f t="shared" si="7"/>
        <v>43094</v>
      </c>
      <c r="E61" s="12">
        <v>43190</v>
      </c>
      <c r="F61" s="9">
        <f t="shared" si="11"/>
        <v>97</v>
      </c>
      <c r="G61" s="9">
        <v>365</v>
      </c>
      <c r="H61" s="13">
        <f t="shared" si="8"/>
        <v>10000</v>
      </c>
      <c r="I61" s="11">
        <f t="shared" si="9"/>
        <v>2657</v>
      </c>
      <c r="J61" s="1"/>
      <c r="K61" s="1"/>
      <c r="L61" s="1"/>
      <c r="M61" s="1"/>
    </row>
    <row r="62" spans="1:13" ht="29.25" customHeight="1" thickBot="1">
      <c r="A62" s="12">
        <v>43125</v>
      </c>
      <c r="B62" s="9" t="s">
        <v>4</v>
      </c>
      <c r="C62" s="10">
        <v>10000</v>
      </c>
      <c r="D62" s="12">
        <f t="shared" si="7"/>
        <v>43125</v>
      </c>
      <c r="E62" s="12">
        <v>43190</v>
      </c>
      <c r="F62" s="9">
        <f t="shared" si="11"/>
        <v>66</v>
      </c>
      <c r="G62" s="9">
        <v>365</v>
      </c>
      <c r="H62" s="13">
        <f t="shared" si="8"/>
        <v>10000</v>
      </c>
      <c r="I62" s="11">
        <f t="shared" si="9"/>
        <v>1808</v>
      </c>
      <c r="J62" s="1"/>
      <c r="K62" s="1"/>
      <c r="L62" s="1"/>
      <c r="M62" s="1"/>
    </row>
    <row r="63" spans="1:13" ht="29.25" customHeight="1" thickBot="1">
      <c r="A63" s="12">
        <v>43156</v>
      </c>
      <c r="B63" s="9" t="s">
        <v>4</v>
      </c>
      <c r="C63" s="10">
        <v>10000</v>
      </c>
      <c r="D63" s="12">
        <f t="shared" si="7"/>
        <v>43156</v>
      </c>
      <c r="E63" s="12">
        <v>43190</v>
      </c>
      <c r="F63" s="9">
        <f t="shared" si="11"/>
        <v>35</v>
      </c>
      <c r="G63" s="9">
        <v>365</v>
      </c>
      <c r="H63" s="13">
        <f t="shared" si="8"/>
        <v>10000</v>
      </c>
      <c r="I63" s="11">
        <f t="shared" si="9"/>
        <v>958</v>
      </c>
      <c r="J63" s="105" t="s">
        <v>15</v>
      </c>
      <c r="K63" s="105"/>
      <c r="L63" s="105"/>
      <c r="M63" s="106"/>
    </row>
    <row r="64" spans="1:13" ht="29.25" customHeight="1">
      <c r="A64" s="12">
        <v>43184</v>
      </c>
      <c r="B64" s="9" t="s">
        <v>4</v>
      </c>
      <c r="C64" s="10">
        <v>10000</v>
      </c>
      <c r="D64" s="12">
        <f t="shared" si="7"/>
        <v>43184</v>
      </c>
      <c r="E64" s="12">
        <v>43190</v>
      </c>
      <c r="F64" s="9">
        <f t="shared" si="11"/>
        <v>7</v>
      </c>
      <c r="G64" s="9">
        <v>365</v>
      </c>
      <c r="H64" s="13">
        <f t="shared" si="8"/>
        <v>10000</v>
      </c>
      <c r="I64" s="11">
        <f t="shared" si="9"/>
        <v>191</v>
      </c>
      <c r="J64" s="34" t="s">
        <v>11</v>
      </c>
      <c r="K64" s="35" t="s">
        <v>12</v>
      </c>
      <c r="L64" s="35" t="s">
        <v>13</v>
      </c>
      <c r="M64" s="36" t="s">
        <v>14</v>
      </c>
    </row>
    <row r="65" spans="1:13" ht="29.25" customHeight="1" thickBot="1">
      <c r="A65" s="9"/>
      <c r="B65" s="9"/>
      <c r="C65" s="10">
        <f>SUM(C51:C64)</f>
        <v>231514</v>
      </c>
      <c r="D65" s="9"/>
      <c r="E65" s="9"/>
      <c r="F65" s="9"/>
      <c r="G65" s="9"/>
      <c r="H65" s="13"/>
      <c r="I65" s="11">
        <f>SUM(I51:I64)</f>
        <v>289001</v>
      </c>
      <c r="J65" s="14">
        <f>ROUNDDOWN(I65*1.5/100,0)</f>
        <v>4335</v>
      </c>
      <c r="K65" s="15">
        <f>ROUNDDOWN(J65*0.15315,0)</f>
        <v>663</v>
      </c>
      <c r="L65" s="15">
        <f>ROUNDDOWN(J65*0.05,0)</f>
        <v>216</v>
      </c>
      <c r="M65" s="16">
        <f>J65-K65-L65</f>
        <v>3456</v>
      </c>
    </row>
    <row r="66" spans="1:13" ht="29.25" customHeight="1"/>
    <row r="67" spans="1:13" ht="29.25" customHeight="1">
      <c r="A67" s="103" t="s">
        <v>26</v>
      </c>
      <c r="B67" s="103"/>
      <c r="C67" s="103"/>
      <c r="D67" s="26">
        <f>C65+M65</f>
        <v>234970</v>
      </c>
      <c r="E67" s="25" t="s">
        <v>24</v>
      </c>
      <c r="F67" s="4"/>
      <c r="G67" s="4"/>
      <c r="H67" s="5"/>
      <c r="I67" s="23"/>
      <c r="J67" s="5"/>
      <c r="K67" s="5"/>
      <c r="L67" s="5"/>
      <c r="M67" s="5"/>
    </row>
  </sheetData>
  <mergeCells count="18">
    <mergeCell ref="A1:M1"/>
    <mergeCell ref="A25:M25"/>
    <mergeCell ref="B3:E3"/>
    <mergeCell ref="B4:E4"/>
    <mergeCell ref="H4:I4"/>
    <mergeCell ref="J17:M17"/>
    <mergeCell ref="A21:C21"/>
    <mergeCell ref="J63:M63"/>
    <mergeCell ref="A67:C67"/>
    <mergeCell ref="B26:E26"/>
    <mergeCell ref="B27:E27"/>
    <mergeCell ref="A47:M47"/>
    <mergeCell ref="B48:E48"/>
    <mergeCell ref="B49:E49"/>
    <mergeCell ref="H49:I49"/>
    <mergeCell ref="H27:I27"/>
    <mergeCell ref="J41:M41"/>
    <mergeCell ref="A45:C45"/>
  </mergeCells>
  <phoneticPr fontId="2"/>
  <printOptions horizontalCentered="1"/>
  <pageMargins left="0.51181102362204722" right="0.51181102362204722" top="0.74803149606299213" bottom="0.74803149606299213" header="0.31496062992125984" footer="0.31496062992125984"/>
  <pageSetup paperSize="9" scale="53" orientation="portrait" horizontalDpi="300" verticalDpi="3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theme="7" tint="-0.249977111117893"/>
  </sheetPr>
  <dimension ref="A1:M67"/>
  <sheetViews>
    <sheetView zoomScaleNormal="100" workbookViewId="0">
      <selection activeCell="J38" sqref="J38"/>
    </sheetView>
  </sheetViews>
  <sheetFormatPr defaultRowHeight="13.5"/>
  <cols>
    <col min="1" max="1" width="18" bestFit="1" customWidth="1"/>
    <col min="2" max="2" width="11.875" bestFit="1" customWidth="1"/>
    <col min="3" max="3" width="14.25" bestFit="1" customWidth="1"/>
    <col min="4" max="4" width="18" bestFit="1" customWidth="1"/>
    <col min="5" max="5" width="16.375" bestFit="1" customWidth="1"/>
    <col min="6" max="7" width="9.125" bestFit="1" customWidth="1"/>
    <col min="8" max="8" width="14.125" bestFit="1" customWidth="1"/>
    <col min="9" max="9" width="13.625" bestFit="1" customWidth="1"/>
    <col min="10" max="10" width="11.375" bestFit="1" customWidth="1"/>
    <col min="11" max="12" width="9.125" bestFit="1" customWidth="1"/>
    <col min="13" max="13" width="11.625" bestFit="1" customWidth="1"/>
  </cols>
  <sheetData>
    <row r="1" spans="1:13" ht="27" customHeight="1">
      <c r="A1" s="107" t="s">
        <v>27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</row>
    <row r="2" spans="1:13" ht="29.25" customHeight="1"/>
    <row r="3" spans="1:13" s="1" customFormat="1" ht="33" customHeight="1">
      <c r="A3" s="17" t="s">
        <v>17</v>
      </c>
      <c r="B3" s="107" t="s">
        <v>21</v>
      </c>
      <c r="C3" s="107"/>
      <c r="D3" s="107"/>
      <c r="E3" s="107"/>
      <c r="F3" s="18" t="s">
        <v>19</v>
      </c>
      <c r="G3" s="1">
        <v>208</v>
      </c>
      <c r="H3" s="2"/>
      <c r="I3" s="3"/>
    </row>
    <row r="4" spans="1:13" s="1" customFormat="1" ht="33" customHeight="1">
      <c r="A4" s="17" t="s">
        <v>18</v>
      </c>
      <c r="B4" s="108" t="s">
        <v>22</v>
      </c>
      <c r="C4" s="108"/>
      <c r="D4" s="108"/>
      <c r="E4" s="108"/>
      <c r="F4" s="18" t="s">
        <v>20</v>
      </c>
      <c r="G4" s="1">
        <v>563</v>
      </c>
      <c r="H4" s="104" t="s">
        <v>25</v>
      </c>
      <c r="I4" s="104"/>
    </row>
    <row r="5" spans="1:13" s="17" customFormat="1" ht="33" customHeight="1">
      <c r="A5" s="19" t="s">
        <v>1</v>
      </c>
      <c r="B5" s="19" t="s">
        <v>2</v>
      </c>
      <c r="C5" s="20" t="s">
        <v>3</v>
      </c>
      <c r="D5" s="20" t="s">
        <v>6</v>
      </c>
      <c r="E5" s="19" t="s">
        <v>7</v>
      </c>
      <c r="F5" s="19" t="s">
        <v>8</v>
      </c>
      <c r="G5" s="19" t="s">
        <v>9</v>
      </c>
      <c r="H5" s="21" t="s">
        <v>10</v>
      </c>
      <c r="I5" s="22"/>
    </row>
    <row r="6" spans="1:13" s="1" customFormat="1" ht="33" customHeight="1">
      <c r="A6" s="12">
        <v>42095</v>
      </c>
      <c r="B6" s="9" t="s">
        <v>5</v>
      </c>
      <c r="C6" s="10">
        <v>11306824</v>
      </c>
      <c r="D6" s="12">
        <f t="shared" ref="D6:D18" si="0">A6</f>
        <v>42095</v>
      </c>
      <c r="E6" s="12">
        <v>42459</v>
      </c>
      <c r="F6" s="9">
        <v>365</v>
      </c>
      <c r="G6" s="9">
        <v>366</v>
      </c>
      <c r="H6" s="13">
        <f t="shared" ref="H6:H18" si="1">ROUNDDOWN(C6/100,0)*100</f>
        <v>11306800</v>
      </c>
      <c r="I6" s="11">
        <f t="shared" ref="I6:I18" si="2">ROUNDDOWN(H6*F6/G6,0)</f>
        <v>11275907</v>
      </c>
    </row>
    <row r="7" spans="1:13" s="1" customFormat="1" ht="33" customHeight="1">
      <c r="A7" s="12">
        <v>42119</v>
      </c>
      <c r="B7" s="9" t="s">
        <v>4</v>
      </c>
      <c r="C7" s="10">
        <v>70000</v>
      </c>
      <c r="D7" s="12">
        <f t="shared" si="0"/>
        <v>42119</v>
      </c>
      <c r="E7" s="12">
        <v>42459</v>
      </c>
      <c r="F7" s="9">
        <f>E7-A7+1</f>
        <v>341</v>
      </c>
      <c r="G7" s="9">
        <v>366</v>
      </c>
      <c r="H7" s="13">
        <f t="shared" si="1"/>
        <v>70000</v>
      </c>
      <c r="I7" s="11">
        <f t="shared" si="2"/>
        <v>65218</v>
      </c>
    </row>
    <row r="8" spans="1:13" s="1" customFormat="1" ht="33" customHeight="1">
      <c r="A8" s="12">
        <v>42149</v>
      </c>
      <c r="B8" s="9" t="s">
        <v>4</v>
      </c>
      <c r="C8" s="10">
        <v>70000</v>
      </c>
      <c r="D8" s="12">
        <f t="shared" si="0"/>
        <v>42149</v>
      </c>
      <c r="E8" s="12">
        <v>42459</v>
      </c>
      <c r="F8" s="9">
        <f>E8-A8+1</f>
        <v>311</v>
      </c>
      <c r="G8" s="9">
        <v>366</v>
      </c>
      <c r="H8" s="13">
        <f t="shared" si="1"/>
        <v>70000</v>
      </c>
      <c r="I8" s="11">
        <f t="shared" si="2"/>
        <v>59480</v>
      </c>
    </row>
    <row r="9" spans="1:13" s="1" customFormat="1" ht="33" customHeight="1">
      <c r="A9" s="12">
        <v>42180</v>
      </c>
      <c r="B9" s="9" t="s">
        <v>4</v>
      </c>
      <c r="C9" s="10">
        <v>70000</v>
      </c>
      <c r="D9" s="12">
        <f t="shared" si="0"/>
        <v>42180</v>
      </c>
      <c r="E9" s="12">
        <v>42459</v>
      </c>
      <c r="F9" s="9">
        <f>E9-A9+1</f>
        <v>280</v>
      </c>
      <c r="G9" s="9">
        <v>366</v>
      </c>
      <c r="H9" s="13">
        <f t="shared" si="1"/>
        <v>70000</v>
      </c>
      <c r="I9" s="11">
        <f t="shared" si="2"/>
        <v>53551</v>
      </c>
    </row>
    <row r="10" spans="1:13" s="1" customFormat="1" ht="33" customHeight="1">
      <c r="A10" s="12">
        <v>42210</v>
      </c>
      <c r="B10" s="9" t="s">
        <v>4</v>
      </c>
      <c r="C10" s="10">
        <v>70000</v>
      </c>
      <c r="D10" s="12">
        <f t="shared" si="0"/>
        <v>42210</v>
      </c>
      <c r="E10" s="12">
        <v>42459</v>
      </c>
      <c r="F10" s="9">
        <f>E10-A10+1</f>
        <v>250</v>
      </c>
      <c r="G10" s="9">
        <v>366</v>
      </c>
      <c r="H10" s="13">
        <f t="shared" si="1"/>
        <v>70000</v>
      </c>
      <c r="I10" s="11">
        <f t="shared" si="2"/>
        <v>47814</v>
      </c>
    </row>
    <row r="11" spans="1:13" s="1" customFormat="1" ht="33" customHeight="1">
      <c r="A11" s="12">
        <v>42241</v>
      </c>
      <c r="B11" s="9" t="s">
        <v>4</v>
      </c>
      <c r="C11" s="10">
        <v>70000</v>
      </c>
      <c r="D11" s="12">
        <f t="shared" si="0"/>
        <v>42241</v>
      </c>
      <c r="E11" s="12">
        <v>42459</v>
      </c>
      <c r="F11" s="9">
        <v>219</v>
      </c>
      <c r="G11" s="9">
        <v>366</v>
      </c>
      <c r="H11" s="13">
        <f t="shared" si="1"/>
        <v>70000</v>
      </c>
      <c r="I11" s="11">
        <f t="shared" si="2"/>
        <v>41885</v>
      </c>
    </row>
    <row r="12" spans="1:13" s="1" customFormat="1" ht="33" customHeight="1">
      <c r="A12" s="12">
        <v>42272</v>
      </c>
      <c r="B12" s="9" t="s">
        <v>4</v>
      </c>
      <c r="C12" s="10">
        <v>70000</v>
      </c>
      <c r="D12" s="12">
        <f t="shared" si="0"/>
        <v>42272</v>
      </c>
      <c r="E12" s="12">
        <v>42459</v>
      </c>
      <c r="F12" s="9">
        <f>E12-A12+1</f>
        <v>188</v>
      </c>
      <c r="G12" s="9">
        <v>366</v>
      </c>
      <c r="H12" s="13">
        <f t="shared" si="1"/>
        <v>70000</v>
      </c>
      <c r="I12" s="11">
        <f t="shared" si="2"/>
        <v>35956</v>
      </c>
    </row>
    <row r="13" spans="1:13" s="1" customFormat="1" ht="33" customHeight="1">
      <c r="A13" s="12">
        <v>42302</v>
      </c>
      <c r="B13" s="9" t="s">
        <v>4</v>
      </c>
      <c r="C13" s="10">
        <v>70000</v>
      </c>
      <c r="D13" s="12">
        <f t="shared" si="0"/>
        <v>42302</v>
      </c>
      <c r="E13" s="12">
        <v>42459</v>
      </c>
      <c r="F13" s="9">
        <f>E13-A13+1</f>
        <v>158</v>
      </c>
      <c r="G13" s="9">
        <v>366</v>
      </c>
      <c r="H13" s="13">
        <f t="shared" si="1"/>
        <v>70000</v>
      </c>
      <c r="I13" s="11">
        <f t="shared" si="2"/>
        <v>30218</v>
      </c>
    </row>
    <row r="14" spans="1:13" s="1" customFormat="1" ht="33" customHeight="1">
      <c r="A14" s="12">
        <v>42333</v>
      </c>
      <c r="B14" s="9" t="s">
        <v>4</v>
      </c>
      <c r="C14" s="10">
        <v>70000</v>
      </c>
      <c r="D14" s="12">
        <f t="shared" si="0"/>
        <v>42333</v>
      </c>
      <c r="E14" s="12">
        <v>42459</v>
      </c>
      <c r="F14" s="9">
        <f>E14-A14+1</f>
        <v>127</v>
      </c>
      <c r="G14" s="9">
        <v>366</v>
      </c>
      <c r="H14" s="13">
        <f t="shared" si="1"/>
        <v>70000</v>
      </c>
      <c r="I14" s="11">
        <f t="shared" si="2"/>
        <v>24289</v>
      </c>
    </row>
    <row r="15" spans="1:13" s="1" customFormat="1" ht="33" customHeight="1">
      <c r="A15" s="12">
        <v>42363</v>
      </c>
      <c r="B15" s="9" t="s">
        <v>4</v>
      </c>
      <c r="C15" s="10">
        <v>70000</v>
      </c>
      <c r="D15" s="12">
        <f t="shared" si="0"/>
        <v>42363</v>
      </c>
      <c r="E15" s="12">
        <v>42459</v>
      </c>
      <c r="F15" s="9">
        <f>E15-A15+1</f>
        <v>97</v>
      </c>
      <c r="G15" s="9">
        <v>366</v>
      </c>
      <c r="H15" s="13">
        <f t="shared" si="1"/>
        <v>70000</v>
      </c>
      <c r="I15" s="11">
        <f t="shared" si="2"/>
        <v>18551</v>
      </c>
    </row>
    <row r="16" spans="1:13" s="1" customFormat="1" ht="33" customHeight="1" thickBot="1">
      <c r="A16" s="12">
        <v>42394</v>
      </c>
      <c r="B16" s="9" t="s">
        <v>4</v>
      </c>
      <c r="C16" s="10">
        <v>70000</v>
      </c>
      <c r="D16" s="12">
        <f t="shared" si="0"/>
        <v>42394</v>
      </c>
      <c r="E16" s="12">
        <v>42459</v>
      </c>
      <c r="F16" s="9">
        <f>E16-A16+1</f>
        <v>66</v>
      </c>
      <c r="G16" s="9">
        <v>366</v>
      </c>
      <c r="H16" s="13">
        <f t="shared" si="1"/>
        <v>70000</v>
      </c>
      <c r="I16" s="11">
        <f t="shared" si="2"/>
        <v>12622</v>
      </c>
    </row>
    <row r="17" spans="1:13" s="1" customFormat="1" ht="33" customHeight="1" thickBot="1">
      <c r="A17" s="12">
        <v>42425</v>
      </c>
      <c r="B17" s="9" t="s">
        <v>4</v>
      </c>
      <c r="C17" s="10">
        <v>70000</v>
      </c>
      <c r="D17" s="12">
        <f t="shared" si="0"/>
        <v>42425</v>
      </c>
      <c r="E17" s="12">
        <v>42459</v>
      </c>
      <c r="F17" s="9">
        <v>35</v>
      </c>
      <c r="G17" s="9">
        <v>366</v>
      </c>
      <c r="H17" s="13">
        <f t="shared" si="1"/>
        <v>70000</v>
      </c>
      <c r="I17" s="11">
        <f t="shared" si="2"/>
        <v>6693</v>
      </c>
      <c r="J17" s="105" t="s">
        <v>15</v>
      </c>
      <c r="K17" s="105"/>
      <c r="L17" s="105"/>
      <c r="M17" s="106"/>
    </row>
    <row r="18" spans="1:13" s="1" customFormat="1" ht="33" customHeight="1">
      <c r="A18" s="12">
        <v>42454</v>
      </c>
      <c r="B18" s="9" t="s">
        <v>4</v>
      </c>
      <c r="C18" s="10">
        <v>70000</v>
      </c>
      <c r="D18" s="12">
        <f t="shared" si="0"/>
        <v>42454</v>
      </c>
      <c r="E18" s="12">
        <v>42459</v>
      </c>
      <c r="F18" s="27">
        <v>6</v>
      </c>
      <c r="G18" s="9">
        <v>366</v>
      </c>
      <c r="H18" s="13">
        <f t="shared" si="1"/>
        <v>70000</v>
      </c>
      <c r="I18" s="11">
        <f t="shared" si="2"/>
        <v>1147</v>
      </c>
      <c r="J18" s="31" t="s">
        <v>11</v>
      </c>
      <c r="K18" s="32" t="s">
        <v>12</v>
      </c>
      <c r="L18" s="32" t="s">
        <v>13</v>
      </c>
      <c r="M18" s="33" t="s">
        <v>14</v>
      </c>
    </row>
    <row r="19" spans="1:13" s="1" customFormat="1" ht="33" customHeight="1" thickBot="1">
      <c r="A19" s="9"/>
      <c r="B19" s="9"/>
      <c r="C19" s="10">
        <f>SUM(C6:C18)</f>
        <v>12146824</v>
      </c>
      <c r="D19" s="9"/>
      <c r="E19" s="9"/>
      <c r="F19" s="9"/>
      <c r="G19" s="9"/>
      <c r="H19" s="13"/>
      <c r="I19" s="11">
        <f>SUM(I6:I18)</f>
        <v>11673331</v>
      </c>
      <c r="J19" s="28">
        <f>ROUNDDOWN(I19*1.6/100,0)</f>
        <v>186773</v>
      </c>
      <c r="K19" s="29">
        <f>ROUNDDOWN(J19*0.15315,0)</f>
        <v>28604</v>
      </c>
      <c r="L19" s="29">
        <f>ROUNDDOWN(J19*0.05,0)</f>
        <v>9338</v>
      </c>
      <c r="M19" s="30">
        <f>J19-K19-L19</f>
        <v>148831</v>
      </c>
    </row>
    <row r="20" spans="1:13" s="1" customFormat="1" ht="33" customHeight="1">
      <c r="H20" s="2"/>
      <c r="I20" s="3"/>
    </row>
    <row r="21" spans="1:13" s="4" customFormat="1" ht="33" customHeight="1">
      <c r="A21" s="103" t="s">
        <v>26</v>
      </c>
      <c r="B21" s="103"/>
      <c r="C21" s="103"/>
      <c r="D21" s="26">
        <v>12295655</v>
      </c>
      <c r="E21" s="25" t="s">
        <v>24</v>
      </c>
      <c r="H21" s="5"/>
      <c r="I21" s="23"/>
      <c r="J21" s="5"/>
      <c r="K21" s="5"/>
      <c r="L21" s="5"/>
      <c r="M21" s="5"/>
    </row>
    <row r="22" spans="1:13" s="4" customFormat="1" ht="33" customHeight="1">
      <c r="A22" s="24"/>
      <c r="B22" s="24"/>
      <c r="C22" s="24"/>
      <c r="D22" s="26"/>
      <c r="E22" s="25"/>
      <c r="H22" s="5"/>
      <c r="I22" s="23"/>
      <c r="J22" s="5"/>
      <c r="K22" s="5"/>
      <c r="L22" s="5"/>
      <c r="M22" s="5"/>
    </row>
    <row r="23" spans="1:13" s="4" customFormat="1" ht="33" customHeight="1">
      <c r="A23" s="24"/>
      <c r="B23" s="24"/>
      <c r="C23" s="24"/>
      <c r="D23" s="26"/>
      <c r="E23" s="25"/>
      <c r="H23" s="5"/>
      <c r="I23" s="23"/>
      <c r="J23" s="5"/>
      <c r="K23" s="5"/>
      <c r="L23" s="5"/>
      <c r="M23" s="5"/>
    </row>
    <row r="24" spans="1:13" ht="33" customHeight="1"/>
    <row r="25" spans="1:13" s="1" customFormat="1" ht="33" customHeight="1">
      <c r="A25" s="107" t="s">
        <v>27</v>
      </c>
      <c r="B25" s="107"/>
      <c r="C25" s="107"/>
      <c r="D25" s="107"/>
      <c r="E25" s="107"/>
      <c r="F25" s="107"/>
      <c r="G25" s="107"/>
      <c r="H25" s="107"/>
      <c r="I25" s="107"/>
      <c r="J25" s="107"/>
      <c r="K25" s="107"/>
      <c r="L25" s="107"/>
      <c r="M25" s="107"/>
    </row>
    <row r="26" spans="1:13" s="1" customFormat="1" ht="33" customHeight="1">
      <c r="A26" s="17" t="s">
        <v>17</v>
      </c>
      <c r="B26" s="107" t="s">
        <v>47</v>
      </c>
      <c r="C26" s="107"/>
      <c r="D26" s="107"/>
      <c r="E26" s="107"/>
      <c r="F26" s="18" t="s">
        <v>19</v>
      </c>
      <c r="G26" s="1">
        <v>9991</v>
      </c>
      <c r="H26" s="2"/>
      <c r="I26" s="3"/>
    </row>
    <row r="27" spans="1:13" s="1" customFormat="1" ht="33" customHeight="1">
      <c r="A27" s="17" t="s">
        <v>18</v>
      </c>
      <c r="B27" s="108" t="s">
        <v>48</v>
      </c>
      <c r="C27" s="108"/>
      <c r="D27" s="108"/>
      <c r="E27" s="108"/>
      <c r="F27" s="18" t="s">
        <v>20</v>
      </c>
      <c r="G27" s="1">
        <v>11726</v>
      </c>
      <c r="H27" s="109" t="s">
        <v>49</v>
      </c>
      <c r="I27" s="109"/>
    </row>
    <row r="28" spans="1:13" s="1" customFormat="1" ht="33" customHeight="1">
      <c r="A28" s="9" t="s">
        <v>1</v>
      </c>
      <c r="B28" s="9" t="s">
        <v>2</v>
      </c>
      <c r="C28" s="10" t="s">
        <v>3</v>
      </c>
      <c r="D28" s="10" t="s">
        <v>6</v>
      </c>
      <c r="E28" s="9" t="s">
        <v>7</v>
      </c>
      <c r="F28" s="9" t="s">
        <v>8</v>
      </c>
      <c r="G28" s="9" t="s">
        <v>9</v>
      </c>
      <c r="H28" s="13" t="s">
        <v>10</v>
      </c>
      <c r="I28" s="11"/>
    </row>
    <row r="29" spans="1:13" s="1" customFormat="1" ht="33" customHeight="1">
      <c r="A29" s="12">
        <v>42826</v>
      </c>
      <c r="B29" s="9" t="s">
        <v>5</v>
      </c>
      <c r="C29" s="10">
        <v>457524</v>
      </c>
      <c r="D29" s="12">
        <f>A29</f>
        <v>42826</v>
      </c>
      <c r="E29" s="12">
        <v>43190</v>
      </c>
      <c r="F29" s="9">
        <v>365</v>
      </c>
      <c r="G29" s="9">
        <v>365</v>
      </c>
      <c r="H29" s="13">
        <f>ROUNDDOWN(C29/100,0)*100</f>
        <v>457500</v>
      </c>
      <c r="I29" s="11">
        <f>ROUNDDOWN(H29*F29/G29,0)</f>
        <v>457500</v>
      </c>
    </row>
    <row r="30" spans="1:13" s="1" customFormat="1" ht="33" customHeight="1">
      <c r="A30" s="12">
        <v>42941</v>
      </c>
      <c r="B30" s="9" t="s">
        <v>0</v>
      </c>
      <c r="C30" s="10">
        <v>15000000</v>
      </c>
      <c r="D30" s="12">
        <f>A30</f>
        <v>42941</v>
      </c>
      <c r="E30" s="12">
        <v>43190</v>
      </c>
      <c r="F30" s="9">
        <f>E30-A30+1</f>
        <v>250</v>
      </c>
      <c r="G30" s="9">
        <v>365</v>
      </c>
      <c r="H30" s="13">
        <f>ROUNDDOWN(C30/100,0)*100</f>
        <v>15000000</v>
      </c>
      <c r="I30" s="11">
        <f>ROUNDDOWN(H30*F30/G30,0)</f>
        <v>10273972</v>
      </c>
    </row>
    <row r="31" spans="1:13" s="1" customFormat="1" ht="33" customHeight="1">
      <c r="A31" s="12">
        <v>43096</v>
      </c>
      <c r="B31" s="9" t="s">
        <v>46</v>
      </c>
      <c r="C31" s="10">
        <v>-1000000</v>
      </c>
      <c r="D31" s="12">
        <f>A31</f>
        <v>43096</v>
      </c>
      <c r="E31" s="12">
        <v>43190</v>
      </c>
      <c r="F31" s="9">
        <f>E31-A31+1</f>
        <v>95</v>
      </c>
      <c r="G31" s="9">
        <v>365</v>
      </c>
      <c r="H31" s="13">
        <f>ROUNDDOWN(C31/100,0)*100</f>
        <v>-1000000</v>
      </c>
      <c r="I31" s="11">
        <f>ROUNDDOWN(H31*F31/G31,0)</f>
        <v>-260273</v>
      </c>
    </row>
    <row r="32" spans="1:13" s="1" customFormat="1" ht="33" customHeight="1">
      <c r="A32" s="12"/>
      <c r="B32" s="9"/>
      <c r="C32" s="10"/>
      <c r="D32" s="12"/>
      <c r="E32" s="12"/>
      <c r="F32" s="9"/>
      <c r="G32" s="9"/>
      <c r="H32" s="13"/>
      <c r="I32" s="11"/>
    </row>
    <row r="33" spans="1:13" s="1" customFormat="1" ht="33" customHeight="1">
      <c r="A33" s="12"/>
      <c r="B33" s="9"/>
      <c r="C33" s="10"/>
      <c r="D33" s="12"/>
      <c r="E33" s="12"/>
      <c r="F33" s="9"/>
      <c r="G33" s="9"/>
      <c r="H33" s="13"/>
      <c r="I33" s="11"/>
    </row>
    <row r="34" spans="1:13" s="1" customFormat="1" ht="33" customHeight="1">
      <c r="A34" s="12"/>
      <c r="B34" s="9"/>
      <c r="C34" s="10"/>
      <c r="D34" s="12"/>
      <c r="E34" s="12"/>
      <c r="F34" s="9"/>
      <c r="G34" s="9"/>
      <c r="H34" s="13"/>
      <c r="I34" s="11"/>
    </row>
    <row r="35" spans="1:13" s="1" customFormat="1" ht="33" customHeight="1">
      <c r="A35" s="12"/>
      <c r="B35" s="9"/>
      <c r="C35" s="10"/>
      <c r="D35" s="12"/>
      <c r="E35" s="12"/>
      <c r="F35" s="9"/>
      <c r="G35" s="9"/>
      <c r="H35" s="13"/>
      <c r="I35" s="11"/>
    </row>
    <row r="36" spans="1:13" s="1" customFormat="1" ht="33" customHeight="1">
      <c r="A36" s="12"/>
      <c r="B36" s="9"/>
      <c r="C36" s="10"/>
      <c r="D36" s="12"/>
      <c r="E36" s="12"/>
      <c r="F36" s="9"/>
      <c r="G36" s="9"/>
      <c r="H36" s="13"/>
      <c r="I36" s="11"/>
    </row>
    <row r="37" spans="1:13" s="1" customFormat="1" ht="33" customHeight="1">
      <c r="A37" s="12"/>
      <c r="B37" s="9"/>
      <c r="C37" s="10"/>
      <c r="D37" s="12"/>
      <c r="E37" s="12"/>
      <c r="F37" s="9"/>
      <c r="G37" s="9"/>
      <c r="H37" s="13"/>
      <c r="I37" s="11"/>
    </row>
    <row r="38" spans="1:13" s="1" customFormat="1" ht="33" customHeight="1">
      <c r="A38" s="12"/>
      <c r="B38" s="9"/>
      <c r="C38" s="10"/>
      <c r="D38" s="12"/>
      <c r="E38" s="12"/>
      <c r="F38" s="9"/>
      <c r="G38" s="9"/>
      <c r="H38" s="13"/>
      <c r="I38" s="11"/>
    </row>
    <row r="39" spans="1:13" s="1" customFormat="1" ht="33" customHeight="1">
      <c r="A39" s="12"/>
      <c r="B39" s="9"/>
      <c r="C39" s="10"/>
      <c r="D39" s="12"/>
      <c r="E39" s="12"/>
      <c r="F39" s="9"/>
      <c r="G39" s="9"/>
      <c r="H39" s="13"/>
      <c r="I39" s="11"/>
    </row>
    <row r="40" spans="1:13" s="1" customFormat="1" ht="33" customHeight="1" thickBot="1">
      <c r="A40" s="12"/>
      <c r="B40" s="9"/>
      <c r="C40" s="10"/>
      <c r="D40" s="12"/>
      <c r="E40" s="12"/>
      <c r="F40" s="9"/>
      <c r="G40" s="9"/>
      <c r="H40" s="13"/>
      <c r="I40" s="11"/>
    </row>
    <row r="41" spans="1:13" s="1" customFormat="1" ht="33" customHeight="1" thickBot="1">
      <c r="A41" s="12"/>
      <c r="B41" s="9"/>
      <c r="C41" s="10"/>
      <c r="D41" s="12"/>
      <c r="E41" s="12"/>
      <c r="F41" s="9"/>
      <c r="G41" s="9"/>
      <c r="H41" s="13"/>
      <c r="I41" s="11"/>
      <c r="J41" s="105" t="s">
        <v>15</v>
      </c>
      <c r="K41" s="105"/>
      <c r="L41" s="105"/>
      <c r="M41" s="106"/>
    </row>
    <row r="42" spans="1:13" s="1" customFormat="1" ht="33" customHeight="1">
      <c r="A42" s="12"/>
      <c r="B42" s="9"/>
      <c r="C42" s="10"/>
      <c r="D42" s="12"/>
      <c r="E42" s="12"/>
      <c r="F42" s="27"/>
      <c r="G42" s="9"/>
      <c r="H42" s="13"/>
      <c r="I42" s="11"/>
      <c r="J42" s="34" t="s">
        <v>11</v>
      </c>
      <c r="K42" s="35" t="s">
        <v>12</v>
      </c>
      <c r="L42" s="35" t="s">
        <v>13</v>
      </c>
      <c r="M42" s="36" t="s">
        <v>14</v>
      </c>
    </row>
    <row r="43" spans="1:13" s="1" customFormat="1" ht="33" customHeight="1" thickBot="1">
      <c r="A43" s="9"/>
      <c r="B43" s="9"/>
      <c r="C43" s="10">
        <f>SUM(C29:C42)</f>
        <v>14457524</v>
      </c>
      <c r="D43" s="9"/>
      <c r="E43" s="9"/>
      <c r="F43" s="9"/>
      <c r="G43" s="9"/>
      <c r="H43" s="13"/>
      <c r="I43" s="11">
        <f>SUM(I29:I42)</f>
        <v>10471199</v>
      </c>
      <c r="J43" s="14">
        <f>ROUNDDOWN(I43*1.5/100,0)</f>
        <v>157067</v>
      </c>
      <c r="K43" s="15">
        <f>ROUNDDOWN(J43*0.15315,0)</f>
        <v>24054</v>
      </c>
      <c r="L43" s="15">
        <f>ROUNDDOWN(J43*0.05,0)</f>
        <v>7853</v>
      </c>
      <c r="M43" s="16">
        <f>J43-K43-L43</f>
        <v>125160</v>
      </c>
    </row>
    <row r="45" spans="1:13" s="4" customFormat="1" ht="32.25" customHeight="1">
      <c r="A45" s="103" t="s">
        <v>26</v>
      </c>
      <c r="B45" s="103"/>
      <c r="C45" s="103"/>
      <c r="D45" s="26">
        <f>C43+M43</f>
        <v>14582684</v>
      </c>
      <c r="E45" s="25" t="s">
        <v>24</v>
      </c>
      <c r="H45" s="5"/>
      <c r="I45" s="23"/>
      <c r="J45" s="5"/>
      <c r="K45" s="5"/>
      <c r="L45" s="5"/>
      <c r="M45" s="5"/>
    </row>
    <row r="46" spans="1:13" ht="45" customHeight="1"/>
    <row r="47" spans="1:13" ht="29.25" customHeight="1">
      <c r="A47" s="107" t="s">
        <v>27</v>
      </c>
      <c r="B47" s="107"/>
      <c r="C47" s="107"/>
      <c r="D47" s="107"/>
      <c r="E47" s="107"/>
      <c r="F47" s="107"/>
      <c r="G47" s="107"/>
      <c r="H47" s="107"/>
      <c r="I47" s="107"/>
      <c r="J47" s="107"/>
      <c r="K47" s="107"/>
      <c r="L47" s="107"/>
      <c r="M47" s="107"/>
    </row>
    <row r="48" spans="1:13" ht="29.25" customHeight="1">
      <c r="A48" s="17" t="s">
        <v>17</v>
      </c>
      <c r="B48" s="107" t="s">
        <v>43</v>
      </c>
      <c r="C48" s="107"/>
      <c r="D48" s="107"/>
      <c r="E48" s="107"/>
      <c r="F48" s="18" t="s">
        <v>19</v>
      </c>
      <c r="G48" s="1">
        <v>874</v>
      </c>
      <c r="H48" s="2"/>
      <c r="I48" s="3"/>
      <c r="J48" s="1"/>
      <c r="K48" s="1"/>
      <c r="L48" s="1"/>
      <c r="M48" s="1"/>
    </row>
    <row r="49" spans="1:13" ht="29.25" customHeight="1">
      <c r="A49" s="17" t="s">
        <v>18</v>
      </c>
      <c r="B49" s="108" t="s">
        <v>44</v>
      </c>
      <c r="C49" s="108"/>
      <c r="D49" s="108"/>
      <c r="E49" s="108"/>
      <c r="F49" s="18" t="s">
        <v>20</v>
      </c>
      <c r="G49" s="1">
        <v>249</v>
      </c>
      <c r="H49" s="109" t="s">
        <v>45</v>
      </c>
      <c r="I49" s="109"/>
      <c r="J49" s="1"/>
      <c r="K49" s="1"/>
      <c r="L49" s="1"/>
      <c r="M49" s="1"/>
    </row>
    <row r="50" spans="1:13" ht="29.25" customHeight="1">
      <c r="A50" s="9" t="s">
        <v>1</v>
      </c>
      <c r="B50" s="9" t="s">
        <v>2</v>
      </c>
      <c r="C50" s="10" t="s">
        <v>3</v>
      </c>
      <c r="D50" s="10" t="s">
        <v>6</v>
      </c>
      <c r="E50" s="9" t="s">
        <v>7</v>
      </c>
      <c r="F50" s="9" t="s">
        <v>8</v>
      </c>
      <c r="G50" s="9" t="s">
        <v>9</v>
      </c>
      <c r="H50" s="13" t="s">
        <v>10</v>
      </c>
      <c r="I50" s="11"/>
      <c r="J50" s="1"/>
      <c r="K50" s="1"/>
      <c r="L50" s="1"/>
      <c r="M50" s="1"/>
    </row>
    <row r="51" spans="1:13" ht="29.25" customHeight="1">
      <c r="A51" s="12">
        <v>42826</v>
      </c>
      <c r="B51" s="9" t="s">
        <v>5</v>
      </c>
      <c r="C51" s="10">
        <v>511514</v>
      </c>
      <c r="D51" s="12">
        <f t="shared" ref="D51:D64" si="3">A51</f>
        <v>42826</v>
      </c>
      <c r="E51" s="12">
        <v>43190</v>
      </c>
      <c r="F51" s="9">
        <v>365</v>
      </c>
      <c r="G51" s="9">
        <v>365</v>
      </c>
      <c r="H51" s="13">
        <f t="shared" ref="H51:H64" si="4">ROUNDDOWN(C51/100,0)*100</f>
        <v>511500</v>
      </c>
      <c r="I51" s="11">
        <f t="shared" ref="I51:I64" si="5">ROUNDDOWN(H51*F51/G51,0)</f>
        <v>511500</v>
      </c>
      <c r="J51" s="1"/>
      <c r="K51" s="1"/>
      <c r="L51" s="1"/>
      <c r="M51" s="1"/>
    </row>
    <row r="52" spans="1:13" ht="29.25" customHeight="1">
      <c r="A52" s="12">
        <v>42850</v>
      </c>
      <c r="B52" s="9" t="s">
        <v>4</v>
      </c>
      <c r="C52" s="10">
        <v>10000</v>
      </c>
      <c r="D52" s="12">
        <f t="shared" si="3"/>
        <v>42850</v>
      </c>
      <c r="E52" s="12">
        <v>43190</v>
      </c>
      <c r="F52" s="9">
        <f t="shared" ref="F52:F64" si="6">E52-A52+1</f>
        <v>341</v>
      </c>
      <c r="G52" s="9">
        <v>365</v>
      </c>
      <c r="H52" s="13">
        <f t="shared" si="4"/>
        <v>10000</v>
      </c>
      <c r="I52" s="11">
        <f t="shared" si="5"/>
        <v>9342</v>
      </c>
      <c r="J52" s="1"/>
      <c r="K52" s="1"/>
      <c r="L52" s="1"/>
      <c r="M52" s="1"/>
    </row>
    <row r="53" spans="1:13" ht="29.25" customHeight="1">
      <c r="A53" s="12">
        <v>42880</v>
      </c>
      <c r="B53" s="9" t="s">
        <v>4</v>
      </c>
      <c r="C53" s="10">
        <v>10000</v>
      </c>
      <c r="D53" s="12">
        <f t="shared" si="3"/>
        <v>42880</v>
      </c>
      <c r="E53" s="12">
        <v>43190</v>
      </c>
      <c r="F53" s="9">
        <f t="shared" si="6"/>
        <v>311</v>
      </c>
      <c r="G53" s="9">
        <v>365</v>
      </c>
      <c r="H53" s="13">
        <f t="shared" si="4"/>
        <v>10000</v>
      </c>
      <c r="I53" s="11">
        <f t="shared" si="5"/>
        <v>8520</v>
      </c>
      <c r="J53" s="1"/>
      <c r="K53" s="1"/>
      <c r="L53" s="1"/>
      <c r="M53" s="1"/>
    </row>
    <row r="54" spans="1:13" ht="29.25" customHeight="1">
      <c r="A54" s="12">
        <v>42911</v>
      </c>
      <c r="B54" s="9" t="s">
        <v>4</v>
      </c>
      <c r="C54" s="10">
        <v>10000</v>
      </c>
      <c r="D54" s="12">
        <f t="shared" si="3"/>
        <v>42911</v>
      </c>
      <c r="E54" s="12">
        <v>43190</v>
      </c>
      <c r="F54" s="9">
        <f t="shared" si="6"/>
        <v>280</v>
      </c>
      <c r="G54" s="9">
        <v>365</v>
      </c>
      <c r="H54" s="13">
        <f t="shared" si="4"/>
        <v>10000</v>
      </c>
      <c r="I54" s="11">
        <f t="shared" si="5"/>
        <v>7671</v>
      </c>
      <c r="J54" s="1"/>
      <c r="K54" s="1"/>
      <c r="L54" s="1"/>
      <c r="M54" s="1"/>
    </row>
    <row r="55" spans="1:13" ht="29.25" customHeight="1">
      <c r="A55" s="12">
        <v>42936</v>
      </c>
      <c r="B55" s="9" t="s">
        <v>46</v>
      </c>
      <c r="C55" s="10">
        <v>-400000</v>
      </c>
      <c r="D55" s="12">
        <f t="shared" si="3"/>
        <v>42936</v>
      </c>
      <c r="E55" s="12">
        <v>43190</v>
      </c>
      <c r="F55" s="9">
        <f t="shared" si="6"/>
        <v>255</v>
      </c>
      <c r="G55" s="9">
        <v>365</v>
      </c>
      <c r="H55" s="13">
        <f t="shared" si="4"/>
        <v>-400000</v>
      </c>
      <c r="I55" s="11">
        <f t="shared" si="5"/>
        <v>-279452</v>
      </c>
      <c r="J55" s="1"/>
      <c r="K55" s="1"/>
      <c r="L55" s="1"/>
      <c r="M55" s="1"/>
    </row>
    <row r="56" spans="1:13" ht="29.25" customHeight="1">
      <c r="A56" s="12">
        <v>42941</v>
      </c>
      <c r="B56" s="9" t="s">
        <v>4</v>
      </c>
      <c r="C56" s="10">
        <v>10000</v>
      </c>
      <c r="D56" s="12">
        <f t="shared" si="3"/>
        <v>42941</v>
      </c>
      <c r="E56" s="12">
        <v>43190</v>
      </c>
      <c r="F56" s="9">
        <f t="shared" si="6"/>
        <v>250</v>
      </c>
      <c r="G56" s="9">
        <v>365</v>
      </c>
      <c r="H56" s="13">
        <f t="shared" si="4"/>
        <v>10000</v>
      </c>
      <c r="I56" s="11">
        <f t="shared" si="5"/>
        <v>6849</v>
      </c>
      <c r="J56" s="1"/>
      <c r="K56" s="1"/>
      <c r="L56" s="1"/>
      <c r="M56" s="1"/>
    </row>
    <row r="57" spans="1:13" ht="29.25" customHeight="1">
      <c r="A57" s="12">
        <v>42972</v>
      </c>
      <c r="B57" s="9" t="s">
        <v>4</v>
      </c>
      <c r="C57" s="10">
        <v>10000</v>
      </c>
      <c r="D57" s="12">
        <f t="shared" si="3"/>
        <v>42972</v>
      </c>
      <c r="E57" s="12">
        <v>43190</v>
      </c>
      <c r="F57" s="9">
        <f t="shared" si="6"/>
        <v>219</v>
      </c>
      <c r="G57" s="9">
        <v>365</v>
      </c>
      <c r="H57" s="13">
        <f t="shared" si="4"/>
        <v>10000</v>
      </c>
      <c r="I57" s="11">
        <f t="shared" si="5"/>
        <v>6000</v>
      </c>
      <c r="J57" s="1"/>
      <c r="K57" s="1"/>
      <c r="L57" s="1"/>
      <c r="M57" s="1"/>
    </row>
    <row r="58" spans="1:13" ht="29.25" customHeight="1">
      <c r="A58" s="12">
        <v>43003</v>
      </c>
      <c r="B58" s="9" t="s">
        <v>4</v>
      </c>
      <c r="C58" s="10">
        <v>10000</v>
      </c>
      <c r="D58" s="12">
        <f t="shared" si="3"/>
        <v>43003</v>
      </c>
      <c r="E58" s="12">
        <v>43190</v>
      </c>
      <c r="F58" s="9">
        <f t="shared" si="6"/>
        <v>188</v>
      </c>
      <c r="G58" s="9">
        <v>365</v>
      </c>
      <c r="H58" s="13">
        <f t="shared" si="4"/>
        <v>10000</v>
      </c>
      <c r="I58" s="11">
        <f t="shared" si="5"/>
        <v>5150</v>
      </c>
      <c r="J58" s="1"/>
      <c r="K58" s="1"/>
      <c r="L58" s="1"/>
      <c r="M58" s="1"/>
    </row>
    <row r="59" spans="1:13" ht="29.25" customHeight="1">
      <c r="A59" s="12">
        <v>43033</v>
      </c>
      <c r="B59" s="9" t="s">
        <v>4</v>
      </c>
      <c r="C59" s="10">
        <v>10000</v>
      </c>
      <c r="D59" s="12">
        <f t="shared" si="3"/>
        <v>43033</v>
      </c>
      <c r="E59" s="12">
        <v>43190</v>
      </c>
      <c r="F59" s="9">
        <f t="shared" si="6"/>
        <v>158</v>
      </c>
      <c r="G59" s="9">
        <v>365</v>
      </c>
      <c r="H59" s="13">
        <f t="shared" si="4"/>
        <v>10000</v>
      </c>
      <c r="I59" s="11">
        <f t="shared" si="5"/>
        <v>4328</v>
      </c>
      <c r="J59" s="1"/>
      <c r="K59" s="1"/>
      <c r="L59" s="1"/>
      <c r="M59" s="1"/>
    </row>
    <row r="60" spans="1:13" ht="29.25" customHeight="1">
      <c r="A60" s="12">
        <v>43064</v>
      </c>
      <c r="B60" s="9" t="s">
        <v>4</v>
      </c>
      <c r="C60" s="10">
        <v>10000</v>
      </c>
      <c r="D60" s="12">
        <f t="shared" si="3"/>
        <v>43064</v>
      </c>
      <c r="E60" s="12">
        <v>43190</v>
      </c>
      <c r="F60" s="9">
        <f t="shared" si="6"/>
        <v>127</v>
      </c>
      <c r="G60" s="9">
        <v>365</v>
      </c>
      <c r="H60" s="13">
        <f t="shared" si="4"/>
        <v>10000</v>
      </c>
      <c r="I60" s="11">
        <f t="shared" si="5"/>
        <v>3479</v>
      </c>
      <c r="J60" s="1"/>
      <c r="K60" s="1"/>
      <c r="L60" s="1"/>
      <c r="M60" s="1"/>
    </row>
    <row r="61" spans="1:13" ht="29.25" customHeight="1">
      <c r="A61" s="12">
        <v>43094</v>
      </c>
      <c r="B61" s="9" t="s">
        <v>4</v>
      </c>
      <c r="C61" s="10">
        <v>10000</v>
      </c>
      <c r="D61" s="12">
        <f t="shared" si="3"/>
        <v>43094</v>
      </c>
      <c r="E61" s="12">
        <v>43190</v>
      </c>
      <c r="F61" s="9">
        <f t="shared" si="6"/>
        <v>97</v>
      </c>
      <c r="G61" s="9">
        <v>365</v>
      </c>
      <c r="H61" s="13">
        <f t="shared" si="4"/>
        <v>10000</v>
      </c>
      <c r="I61" s="11">
        <f t="shared" si="5"/>
        <v>2657</v>
      </c>
      <c r="J61" s="1"/>
      <c r="K61" s="1"/>
      <c r="L61" s="1"/>
      <c r="M61" s="1"/>
    </row>
    <row r="62" spans="1:13" ht="29.25" customHeight="1" thickBot="1">
      <c r="A62" s="12">
        <v>43125</v>
      </c>
      <c r="B62" s="9" t="s">
        <v>4</v>
      </c>
      <c r="C62" s="10">
        <v>10000</v>
      </c>
      <c r="D62" s="12">
        <f t="shared" si="3"/>
        <v>43125</v>
      </c>
      <c r="E62" s="12">
        <v>43190</v>
      </c>
      <c r="F62" s="9">
        <f t="shared" si="6"/>
        <v>66</v>
      </c>
      <c r="G62" s="9">
        <v>365</v>
      </c>
      <c r="H62" s="13">
        <f t="shared" si="4"/>
        <v>10000</v>
      </c>
      <c r="I62" s="11">
        <f t="shared" si="5"/>
        <v>1808</v>
      </c>
      <c r="J62" s="1"/>
      <c r="K62" s="1"/>
      <c r="L62" s="1"/>
      <c r="M62" s="1"/>
    </row>
    <row r="63" spans="1:13" ht="29.25" customHeight="1" thickBot="1">
      <c r="A63" s="12">
        <v>43156</v>
      </c>
      <c r="B63" s="9" t="s">
        <v>4</v>
      </c>
      <c r="C63" s="10">
        <v>10000</v>
      </c>
      <c r="D63" s="12">
        <f t="shared" si="3"/>
        <v>43156</v>
      </c>
      <c r="E63" s="12">
        <v>43190</v>
      </c>
      <c r="F63" s="9">
        <f t="shared" si="6"/>
        <v>35</v>
      </c>
      <c r="G63" s="9">
        <v>365</v>
      </c>
      <c r="H63" s="13">
        <f t="shared" si="4"/>
        <v>10000</v>
      </c>
      <c r="I63" s="11">
        <f t="shared" si="5"/>
        <v>958</v>
      </c>
      <c r="J63" s="105" t="s">
        <v>15</v>
      </c>
      <c r="K63" s="105"/>
      <c r="L63" s="105"/>
      <c r="M63" s="106"/>
    </row>
    <row r="64" spans="1:13" ht="29.25" customHeight="1">
      <c r="A64" s="12">
        <v>43184</v>
      </c>
      <c r="B64" s="9" t="s">
        <v>4</v>
      </c>
      <c r="C64" s="10">
        <v>10000</v>
      </c>
      <c r="D64" s="12">
        <f t="shared" si="3"/>
        <v>43184</v>
      </c>
      <c r="E64" s="12">
        <v>43190</v>
      </c>
      <c r="F64" s="9">
        <f t="shared" si="6"/>
        <v>7</v>
      </c>
      <c r="G64" s="9">
        <v>365</v>
      </c>
      <c r="H64" s="13">
        <f t="shared" si="4"/>
        <v>10000</v>
      </c>
      <c r="I64" s="11">
        <f t="shared" si="5"/>
        <v>191</v>
      </c>
      <c r="J64" s="34" t="s">
        <v>11</v>
      </c>
      <c r="K64" s="35" t="s">
        <v>12</v>
      </c>
      <c r="L64" s="35" t="s">
        <v>13</v>
      </c>
      <c r="M64" s="36" t="s">
        <v>14</v>
      </c>
    </row>
    <row r="65" spans="1:13" ht="29.25" customHeight="1" thickBot="1">
      <c r="A65" s="9"/>
      <c r="B65" s="9"/>
      <c r="C65" s="10">
        <f>SUM(C51:C64)</f>
        <v>231514</v>
      </c>
      <c r="D65" s="9"/>
      <c r="E65" s="9"/>
      <c r="F65" s="9"/>
      <c r="G65" s="9"/>
      <c r="H65" s="13"/>
      <c r="I65" s="11">
        <f>SUM(I51:I64)</f>
        <v>289001</v>
      </c>
      <c r="J65" s="14">
        <f>ROUNDDOWN(I65*1.5/100,0)</f>
        <v>4335</v>
      </c>
      <c r="K65" s="15">
        <f>ROUNDDOWN(J65*0.15315,0)</f>
        <v>663</v>
      </c>
      <c r="L65" s="15">
        <f>ROUNDDOWN(J65*0.05,0)</f>
        <v>216</v>
      </c>
      <c r="M65" s="16">
        <f>J65-K65-L65</f>
        <v>3456</v>
      </c>
    </row>
    <row r="66" spans="1:13" ht="29.25" customHeight="1"/>
    <row r="67" spans="1:13" ht="29.25" customHeight="1">
      <c r="A67" s="103" t="s">
        <v>26</v>
      </c>
      <c r="B67" s="103"/>
      <c r="C67" s="103"/>
      <c r="D67" s="26">
        <f>C65+M65</f>
        <v>234970</v>
      </c>
      <c r="E67" s="25" t="s">
        <v>24</v>
      </c>
      <c r="F67" s="4"/>
      <c r="G67" s="4"/>
      <c r="H67" s="5"/>
      <c r="I67" s="23"/>
      <c r="J67" s="5"/>
      <c r="K67" s="5"/>
      <c r="L67" s="5"/>
      <c r="M67" s="5"/>
    </row>
  </sheetData>
  <mergeCells count="18">
    <mergeCell ref="A21:C21"/>
    <mergeCell ref="A1:M1"/>
    <mergeCell ref="B3:E3"/>
    <mergeCell ref="B4:E4"/>
    <mergeCell ref="H4:I4"/>
    <mergeCell ref="J17:M17"/>
    <mergeCell ref="A67:C67"/>
    <mergeCell ref="A25:M25"/>
    <mergeCell ref="B26:E26"/>
    <mergeCell ref="B27:E27"/>
    <mergeCell ref="H27:I27"/>
    <mergeCell ref="J41:M41"/>
    <mergeCell ref="A45:C45"/>
    <mergeCell ref="A47:M47"/>
    <mergeCell ref="B48:E48"/>
    <mergeCell ref="B49:E49"/>
    <mergeCell ref="H49:I49"/>
    <mergeCell ref="J63:M63"/>
  </mergeCells>
  <phoneticPr fontId="2"/>
  <printOptions horizontalCentered="1"/>
  <pageMargins left="0.11811023622047245" right="0.11811023622047245" top="0.74803149606299213" bottom="0.74803149606299213" header="0.31496062992125984" footer="0.31496062992125984"/>
  <pageSetup paperSize="9" scale="53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5" tint="-0.249977111117893"/>
  </sheetPr>
  <dimension ref="A1:S134"/>
  <sheetViews>
    <sheetView zoomScale="75" workbookViewId="0">
      <selection activeCell="K44" sqref="K44:N47"/>
    </sheetView>
  </sheetViews>
  <sheetFormatPr defaultRowHeight="17.25"/>
  <cols>
    <col min="1" max="1" width="11.875" style="53" bestFit="1" customWidth="1"/>
    <col min="2" max="2" width="14.625" style="53" bestFit="1" customWidth="1"/>
    <col min="3" max="3" width="11.875" style="53" bestFit="1" customWidth="1"/>
    <col min="4" max="4" width="23" style="53" bestFit="1" customWidth="1"/>
    <col min="5" max="6" width="14.625" style="53" bestFit="1" customWidth="1"/>
    <col min="7" max="8" width="11.875" style="53" bestFit="1" customWidth="1"/>
    <col min="9" max="9" width="21.625" style="52" bestFit="1" customWidth="1"/>
    <col min="10" max="10" width="20.25" style="71" bestFit="1" customWidth="1"/>
    <col min="11" max="12" width="20.25" style="53" customWidth="1"/>
    <col min="13" max="13" width="16.125" style="53" bestFit="1" customWidth="1"/>
    <col min="14" max="14" width="18.875" style="53" bestFit="1" customWidth="1"/>
    <col min="15" max="16384" width="9" style="53"/>
  </cols>
  <sheetData>
    <row r="1" spans="1:19" ht="18" customHeight="1">
      <c r="A1" s="97" t="s">
        <v>39</v>
      </c>
      <c r="B1" s="97"/>
      <c r="C1" s="97"/>
      <c r="D1" s="97"/>
      <c r="E1" s="97"/>
      <c r="F1" s="97"/>
    </row>
    <row r="3" spans="1:19" ht="19.5" customHeight="1" thickBot="1">
      <c r="B3" s="54" t="s">
        <v>1</v>
      </c>
      <c r="C3" s="54" t="s">
        <v>2</v>
      </c>
      <c r="D3" s="55" t="s">
        <v>3</v>
      </c>
      <c r="E3" s="55" t="s">
        <v>6</v>
      </c>
      <c r="F3" s="54" t="s">
        <v>7</v>
      </c>
      <c r="G3" s="54" t="s">
        <v>8</v>
      </c>
      <c r="H3" s="54" t="s">
        <v>9</v>
      </c>
      <c r="I3" s="56" t="s">
        <v>10</v>
      </c>
      <c r="J3" s="72"/>
      <c r="K3" s="54"/>
      <c r="L3" s="54"/>
      <c r="M3" s="54"/>
      <c r="N3" s="54"/>
      <c r="O3" s="54"/>
      <c r="P3" s="54"/>
      <c r="Q3" s="54"/>
      <c r="R3" s="54"/>
      <c r="S3" s="54"/>
    </row>
    <row r="4" spans="1:19" ht="19.5" customHeight="1">
      <c r="A4" s="53" t="s">
        <v>28</v>
      </c>
      <c r="B4" s="57">
        <v>42461</v>
      </c>
      <c r="C4" s="53" t="s">
        <v>5</v>
      </c>
      <c r="D4" s="58">
        <v>47015815639</v>
      </c>
      <c r="E4" s="57">
        <f t="shared" ref="E4:E33" si="0">B4</f>
        <v>42461</v>
      </c>
      <c r="F4" s="57">
        <v>42735</v>
      </c>
      <c r="G4" s="68">
        <f t="shared" ref="G4:G33" si="1">F4-B4+1</f>
        <v>275</v>
      </c>
      <c r="H4" s="53">
        <v>275</v>
      </c>
      <c r="I4" s="52">
        <f t="shared" ref="I4:I33" si="2">ROUNDDOWN(D4/100,0)*100</f>
        <v>47015815600</v>
      </c>
      <c r="J4" s="71">
        <f t="shared" ref="J4:J33" si="3">ROUNDDOWN(I4*G4/H4,0)</f>
        <v>47015815600</v>
      </c>
    </row>
    <row r="5" spans="1:19" ht="19.5" customHeight="1">
      <c r="B5" s="57">
        <v>42461</v>
      </c>
      <c r="C5" s="53" t="s">
        <v>37</v>
      </c>
      <c r="D5" s="58">
        <v>-3208874806</v>
      </c>
      <c r="E5" s="57">
        <f t="shared" si="0"/>
        <v>42461</v>
      </c>
      <c r="F5" s="57">
        <v>42735</v>
      </c>
      <c r="G5" s="68">
        <f t="shared" si="1"/>
        <v>275</v>
      </c>
      <c r="H5" s="53">
        <v>275</v>
      </c>
      <c r="I5" s="52">
        <f t="shared" si="2"/>
        <v>-3208874800</v>
      </c>
      <c r="J5" s="71">
        <f t="shared" si="3"/>
        <v>-3208874800</v>
      </c>
    </row>
    <row r="6" spans="1:19" ht="19.5" customHeight="1">
      <c r="B6" s="57">
        <v>42485</v>
      </c>
      <c r="C6" s="53" t="s">
        <v>4</v>
      </c>
      <c r="D6" s="58">
        <v>266549000</v>
      </c>
      <c r="E6" s="57">
        <f t="shared" si="0"/>
        <v>42485</v>
      </c>
      <c r="F6" s="57">
        <v>42735</v>
      </c>
      <c r="G6" s="68">
        <f t="shared" si="1"/>
        <v>251</v>
      </c>
      <c r="H6" s="53">
        <v>275</v>
      </c>
      <c r="I6" s="52">
        <f t="shared" si="2"/>
        <v>266549000</v>
      </c>
      <c r="J6" s="71">
        <f t="shared" si="3"/>
        <v>243286541</v>
      </c>
      <c r="K6" s="76"/>
      <c r="L6" s="81"/>
    </row>
    <row r="7" spans="1:19" ht="19.5" customHeight="1">
      <c r="B7" s="57">
        <v>42490</v>
      </c>
      <c r="C7" s="53" t="s">
        <v>0</v>
      </c>
      <c r="D7" s="58">
        <v>911073652</v>
      </c>
      <c r="E7" s="57">
        <f t="shared" si="0"/>
        <v>42490</v>
      </c>
      <c r="F7" s="57">
        <v>42735</v>
      </c>
      <c r="G7" s="68">
        <f t="shared" si="1"/>
        <v>246</v>
      </c>
      <c r="H7" s="53">
        <v>275</v>
      </c>
      <c r="I7" s="52">
        <f t="shared" si="2"/>
        <v>911073600</v>
      </c>
      <c r="J7" s="71">
        <f t="shared" si="3"/>
        <v>814996747</v>
      </c>
    </row>
    <row r="8" spans="1:19" ht="19.5" customHeight="1">
      <c r="B8" s="57">
        <v>42491</v>
      </c>
      <c r="C8" s="53" t="s">
        <v>37</v>
      </c>
      <c r="D8" s="58">
        <v>-356899681</v>
      </c>
      <c r="E8" s="57">
        <f t="shared" si="0"/>
        <v>42491</v>
      </c>
      <c r="F8" s="57">
        <v>42735</v>
      </c>
      <c r="G8" s="68">
        <f t="shared" si="1"/>
        <v>245</v>
      </c>
      <c r="H8" s="53">
        <v>275</v>
      </c>
      <c r="I8" s="52">
        <f t="shared" si="2"/>
        <v>-356899600</v>
      </c>
      <c r="J8" s="71">
        <f t="shared" si="3"/>
        <v>-317965098</v>
      </c>
      <c r="L8" s="87"/>
    </row>
    <row r="9" spans="1:19" ht="19.5" customHeight="1">
      <c r="B9" s="57">
        <v>42515</v>
      </c>
      <c r="C9" s="53" t="s">
        <v>4</v>
      </c>
      <c r="D9" s="58">
        <v>267786000</v>
      </c>
      <c r="E9" s="57">
        <f t="shared" si="0"/>
        <v>42515</v>
      </c>
      <c r="F9" s="57">
        <v>42735</v>
      </c>
      <c r="G9" s="68">
        <f t="shared" si="1"/>
        <v>221</v>
      </c>
      <c r="H9" s="53">
        <v>275</v>
      </c>
      <c r="I9" s="52">
        <f t="shared" si="2"/>
        <v>267786000</v>
      </c>
      <c r="J9" s="71">
        <f t="shared" si="3"/>
        <v>215202567</v>
      </c>
      <c r="K9" s="76"/>
      <c r="L9" s="81"/>
    </row>
    <row r="10" spans="1:19" ht="19.5" customHeight="1">
      <c r="B10" s="57">
        <v>42521</v>
      </c>
      <c r="C10" s="53" t="s">
        <v>0</v>
      </c>
      <c r="D10" s="58">
        <v>526583161</v>
      </c>
      <c r="E10" s="57">
        <f t="shared" si="0"/>
        <v>42521</v>
      </c>
      <c r="F10" s="57">
        <v>42735</v>
      </c>
      <c r="G10" s="68">
        <f t="shared" si="1"/>
        <v>215</v>
      </c>
      <c r="H10" s="53">
        <v>275</v>
      </c>
      <c r="I10" s="52">
        <f t="shared" si="2"/>
        <v>526583100</v>
      </c>
      <c r="J10" s="71">
        <f t="shared" si="3"/>
        <v>411692241</v>
      </c>
    </row>
    <row r="11" spans="1:19" ht="19.5" customHeight="1">
      <c r="B11" s="57">
        <v>42522</v>
      </c>
      <c r="C11" s="53" t="s">
        <v>37</v>
      </c>
      <c r="D11" s="58">
        <v>-489231212</v>
      </c>
      <c r="E11" s="57">
        <f t="shared" si="0"/>
        <v>42522</v>
      </c>
      <c r="F11" s="57">
        <v>42735</v>
      </c>
      <c r="G11" s="68">
        <f t="shared" si="1"/>
        <v>214</v>
      </c>
      <c r="H11" s="53">
        <v>275</v>
      </c>
      <c r="I11" s="52">
        <f t="shared" si="2"/>
        <v>-489231200</v>
      </c>
      <c r="J11" s="71">
        <f t="shared" si="3"/>
        <v>-380710824</v>
      </c>
    </row>
    <row r="12" spans="1:19" ht="19.5" customHeight="1">
      <c r="B12" s="57">
        <v>42546</v>
      </c>
      <c r="C12" s="53" t="s">
        <v>4</v>
      </c>
      <c r="D12" s="58">
        <v>270294000</v>
      </c>
      <c r="E12" s="57">
        <f t="shared" si="0"/>
        <v>42546</v>
      </c>
      <c r="F12" s="57">
        <v>42735</v>
      </c>
      <c r="G12" s="68">
        <f t="shared" si="1"/>
        <v>190</v>
      </c>
      <c r="H12" s="53">
        <v>275</v>
      </c>
      <c r="I12" s="52">
        <f t="shared" si="2"/>
        <v>270294000</v>
      </c>
      <c r="J12" s="71">
        <f t="shared" si="3"/>
        <v>186748581</v>
      </c>
    </row>
    <row r="13" spans="1:19" ht="19.5" customHeight="1">
      <c r="B13" s="57">
        <v>42551</v>
      </c>
      <c r="C13" s="53" t="s">
        <v>0</v>
      </c>
      <c r="D13" s="58">
        <v>202192364</v>
      </c>
      <c r="E13" s="57">
        <f t="shared" si="0"/>
        <v>42551</v>
      </c>
      <c r="F13" s="57">
        <v>42735</v>
      </c>
      <c r="G13" s="68">
        <f t="shared" si="1"/>
        <v>185</v>
      </c>
      <c r="H13" s="53">
        <v>275</v>
      </c>
      <c r="I13" s="52">
        <f t="shared" si="2"/>
        <v>202192300</v>
      </c>
      <c r="J13" s="71">
        <f t="shared" si="3"/>
        <v>136020274</v>
      </c>
    </row>
    <row r="14" spans="1:19" ht="19.5" customHeight="1">
      <c r="B14" s="57">
        <v>42552</v>
      </c>
      <c r="C14" s="53" t="s">
        <v>37</v>
      </c>
      <c r="D14" s="58">
        <v>-261942287</v>
      </c>
      <c r="E14" s="57">
        <f t="shared" si="0"/>
        <v>42552</v>
      </c>
      <c r="F14" s="57">
        <v>42735</v>
      </c>
      <c r="G14" s="68">
        <f t="shared" si="1"/>
        <v>184</v>
      </c>
      <c r="H14" s="53">
        <v>275</v>
      </c>
      <c r="I14" s="52">
        <f t="shared" si="2"/>
        <v>-261942200</v>
      </c>
      <c r="J14" s="71">
        <f t="shared" si="3"/>
        <v>-175263144</v>
      </c>
    </row>
    <row r="15" spans="1:19" ht="19.5" customHeight="1">
      <c r="B15" s="57">
        <v>42556</v>
      </c>
      <c r="C15" s="53" t="s">
        <v>38</v>
      </c>
      <c r="D15" s="58">
        <v>275425000</v>
      </c>
      <c r="E15" s="57">
        <f t="shared" si="0"/>
        <v>42556</v>
      </c>
      <c r="F15" s="57">
        <v>42735</v>
      </c>
      <c r="G15" s="68">
        <f t="shared" si="1"/>
        <v>180</v>
      </c>
      <c r="H15" s="53">
        <v>275</v>
      </c>
      <c r="I15" s="52">
        <f t="shared" si="2"/>
        <v>275425000</v>
      </c>
      <c r="J15" s="71">
        <f t="shared" si="3"/>
        <v>180278181</v>
      </c>
    </row>
    <row r="16" spans="1:19" ht="19.5" customHeight="1">
      <c r="B16" s="57">
        <v>42576</v>
      </c>
      <c r="C16" s="53" t="s">
        <v>4</v>
      </c>
      <c r="D16" s="58">
        <v>272011500</v>
      </c>
      <c r="E16" s="57">
        <f t="shared" si="0"/>
        <v>42576</v>
      </c>
      <c r="F16" s="57">
        <v>42735</v>
      </c>
      <c r="G16" s="68">
        <f t="shared" si="1"/>
        <v>160</v>
      </c>
      <c r="H16" s="53">
        <v>275</v>
      </c>
      <c r="I16" s="52">
        <f t="shared" si="2"/>
        <v>272011500</v>
      </c>
      <c r="J16" s="71">
        <f t="shared" si="3"/>
        <v>158261236</v>
      </c>
    </row>
    <row r="17" spans="2:13" ht="19.5" customHeight="1">
      <c r="B17" s="57">
        <v>42581</v>
      </c>
      <c r="C17" s="53" t="s">
        <v>0</v>
      </c>
      <c r="D17" s="58">
        <v>684940232</v>
      </c>
      <c r="E17" s="57">
        <f t="shared" si="0"/>
        <v>42581</v>
      </c>
      <c r="F17" s="57">
        <v>42735</v>
      </c>
      <c r="G17" s="68">
        <f t="shared" si="1"/>
        <v>155</v>
      </c>
      <c r="H17" s="53">
        <v>275</v>
      </c>
      <c r="I17" s="52">
        <f t="shared" si="2"/>
        <v>684940200</v>
      </c>
      <c r="J17" s="71">
        <f t="shared" si="3"/>
        <v>386057203</v>
      </c>
    </row>
    <row r="18" spans="2:13" ht="19.5" customHeight="1">
      <c r="B18" s="57">
        <v>42583</v>
      </c>
      <c r="C18" s="53" t="s">
        <v>37</v>
      </c>
      <c r="D18" s="58">
        <v>-325768085</v>
      </c>
      <c r="E18" s="57">
        <f t="shared" si="0"/>
        <v>42583</v>
      </c>
      <c r="F18" s="57">
        <v>42735</v>
      </c>
      <c r="G18" s="68">
        <f t="shared" si="1"/>
        <v>153</v>
      </c>
      <c r="H18" s="53">
        <v>275</v>
      </c>
      <c r="I18" s="52">
        <f t="shared" si="2"/>
        <v>-325768000</v>
      </c>
      <c r="J18" s="71">
        <f t="shared" si="3"/>
        <v>-181245469</v>
      </c>
    </row>
    <row r="19" spans="2:13" ht="19.5" customHeight="1">
      <c r="B19" s="57">
        <v>42607</v>
      </c>
      <c r="C19" s="53" t="s">
        <v>4</v>
      </c>
      <c r="D19" s="58">
        <v>273418500</v>
      </c>
      <c r="E19" s="57">
        <f t="shared" si="0"/>
        <v>42607</v>
      </c>
      <c r="F19" s="57">
        <v>42735</v>
      </c>
      <c r="G19" s="68">
        <f t="shared" si="1"/>
        <v>129</v>
      </c>
      <c r="H19" s="53">
        <v>275</v>
      </c>
      <c r="I19" s="52">
        <f t="shared" si="2"/>
        <v>273418500</v>
      </c>
      <c r="J19" s="71">
        <f t="shared" si="3"/>
        <v>128258132</v>
      </c>
    </row>
    <row r="20" spans="2:13" ht="19.5" customHeight="1">
      <c r="B20" s="57">
        <v>42612</v>
      </c>
      <c r="C20" s="53" t="s">
        <v>0</v>
      </c>
      <c r="D20" s="58">
        <v>322665000</v>
      </c>
      <c r="E20" s="57">
        <f t="shared" si="0"/>
        <v>42612</v>
      </c>
      <c r="F20" s="57">
        <v>42735</v>
      </c>
      <c r="G20" s="68">
        <f t="shared" si="1"/>
        <v>124</v>
      </c>
      <c r="H20" s="53">
        <v>275</v>
      </c>
      <c r="I20" s="52">
        <f t="shared" si="2"/>
        <v>322665000</v>
      </c>
      <c r="J20" s="71">
        <f t="shared" si="3"/>
        <v>145492581</v>
      </c>
    </row>
    <row r="21" spans="2:13" ht="19.5" customHeight="1">
      <c r="B21" s="57">
        <v>42614</v>
      </c>
      <c r="C21" s="53" t="s">
        <v>37</v>
      </c>
      <c r="D21" s="58">
        <v>-354163128</v>
      </c>
      <c r="E21" s="57">
        <f t="shared" si="0"/>
        <v>42614</v>
      </c>
      <c r="F21" s="57">
        <v>42735</v>
      </c>
      <c r="G21" s="68">
        <f t="shared" si="1"/>
        <v>122</v>
      </c>
      <c r="H21" s="53">
        <v>275</v>
      </c>
      <c r="I21" s="52">
        <f t="shared" si="2"/>
        <v>-354163100</v>
      </c>
      <c r="J21" s="71">
        <f t="shared" si="3"/>
        <v>-157119629</v>
      </c>
    </row>
    <row r="22" spans="2:13" ht="19.5" customHeight="1">
      <c r="B22" s="57">
        <v>42638</v>
      </c>
      <c r="C22" s="53" t="s">
        <v>4</v>
      </c>
      <c r="D22" s="58">
        <v>273827500</v>
      </c>
      <c r="E22" s="57">
        <f t="shared" si="0"/>
        <v>42638</v>
      </c>
      <c r="F22" s="57">
        <v>42735</v>
      </c>
      <c r="G22" s="68">
        <f t="shared" si="1"/>
        <v>98</v>
      </c>
      <c r="H22" s="53">
        <v>275</v>
      </c>
      <c r="I22" s="52">
        <f t="shared" si="2"/>
        <v>273827500</v>
      </c>
      <c r="J22" s="71">
        <f t="shared" si="3"/>
        <v>97582163</v>
      </c>
      <c r="K22" s="76"/>
      <c r="L22" s="81"/>
    </row>
    <row r="23" spans="2:13" ht="19.5" customHeight="1">
      <c r="B23" s="57">
        <v>42643</v>
      </c>
      <c r="C23" s="53" t="s">
        <v>0</v>
      </c>
      <c r="D23" s="58">
        <v>293471000</v>
      </c>
      <c r="E23" s="57">
        <f t="shared" si="0"/>
        <v>42643</v>
      </c>
      <c r="F23" s="57">
        <v>42735</v>
      </c>
      <c r="G23" s="68">
        <f t="shared" si="1"/>
        <v>93</v>
      </c>
      <c r="H23" s="53">
        <v>275</v>
      </c>
      <c r="I23" s="52">
        <f t="shared" si="2"/>
        <v>293471000</v>
      </c>
      <c r="J23" s="71">
        <f t="shared" si="3"/>
        <v>99246556</v>
      </c>
      <c r="K23" s="76"/>
      <c r="L23" s="52"/>
    </row>
    <row r="24" spans="2:13" ht="19.5" customHeight="1">
      <c r="B24" s="57">
        <v>42644</v>
      </c>
      <c r="C24" s="53" t="s">
        <v>37</v>
      </c>
      <c r="D24" s="58">
        <v>-385463653</v>
      </c>
      <c r="E24" s="57">
        <f t="shared" si="0"/>
        <v>42644</v>
      </c>
      <c r="F24" s="57">
        <v>42735</v>
      </c>
      <c r="G24" s="53">
        <f t="shared" si="1"/>
        <v>92</v>
      </c>
      <c r="H24" s="53">
        <v>275</v>
      </c>
      <c r="I24" s="52">
        <f t="shared" si="2"/>
        <v>-385463600</v>
      </c>
      <c r="J24" s="74">
        <f t="shared" si="3"/>
        <v>-128955095</v>
      </c>
      <c r="K24" s="52"/>
    </row>
    <row r="25" spans="2:13" ht="19.5" customHeight="1">
      <c r="B25" s="67">
        <v>42668</v>
      </c>
      <c r="C25" s="68" t="s">
        <v>4</v>
      </c>
      <c r="D25" s="69">
        <v>274352000</v>
      </c>
      <c r="E25" s="67">
        <f t="shared" si="0"/>
        <v>42668</v>
      </c>
      <c r="F25" s="57">
        <v>42735</v>
      </c>
      <c r="G25" s="68">
        <f t="shared" si="1"/>
        <v>68</v>
      </c>
      <c r="H25" s="53">
        <v>275</v>
      </c>
      <c r="I25" s="70">
        <f t="shared" si="2"/>
        <v>274352000</v>
      </c>
      <c r="J25" s="73">
        <f t="shared" si="3"/>
        <v>67839767</v>
      </c>
    </row>
    <row r="26" spans="2:13" ht="19.5" customHeight="1">
      <c r="B26" s="67">
        <v>42673</v>
      </c>
      <c r="C26" s="68" t="s">
        <v>0</v>
      </c>
      <c r="D26" s="69">
        <v>276446706</v>
      </c>
      <c r="E26" s="67">
        <f t="shared" si="0"/>
        <v>42673</v>
      </c>
      <c r="F26" s="57">
        <v>42735</v>
      </c>
      <c r="G26" s="68">
        <f t="shared" si="1"/>
        <v>63</v>
      </c>
      <c r="H26" s="53">
        <v>275</v>
      </c>
      <c r="I26" s="70">
        <f t="shared" si="2"/>
        <v>276446700</v>
      </c>
      <c r="J26" s="73">
        <f t="shared" si="3"/>
        <v>63331425</v>
      </c>
    </row>
    <row r="27" spans="2:13" ht="19.5" customHeight="1">
      <c r="B27" s="67">
        <v>42675</v>
      </c>
      <c r="C27" s="68" t="s">
        <v>37</v>
      </c>
      <c r="D27" s="69">
        <v>-319825727</v>
      </c>
      <c r="E27" s="67">
        <f t="shared" si="0"/>
        <v>42675</v>
      </c>
      <c r="F27" s="57">
        <v>42735</v>
      </c>
      <c r="G27" s="68">
        <f t="shared" si="1"/>
        <v>61</v>
      </c>
      <c r="H27" s="53">
        <v>275</v>
      </c>
      <c r="I27" s="70">
        <f t="shared" si="2"/>
        <v>-319825700</v>
      </c>
      <c r="J27" s="73">
        <f t="shared" si="3"/>
        <v>-70943155</v>
      </c>
    </row>
    <row r="28" spans="2:13" ht="19.5" customHeight="1">
      <c r="B28" s="67">
        <v>42699</v>
      </c>
      <c r="C28" s="68" t="s">
        <v>4</v>
      </c>
      <c r="D28" s="69">
        <v>275360000</v>
      </c>
      <c r="E28" s="67">
        <f t="shared" si="0"/>
        <v>42699</v>
      </c>
      <c r="F28" s="57">
        <v>42735</v>
      </c>
      <c r="G28" s="68">
        <f t="shared" si="1"/>
        <v>37</v>
      </c>
      <c r="H28" s="53">
        <v>275</v>
      </c>
      <c r="I28" s="70">
        <f t="shared" si="2"/>
        <v>275360000</v>
      </c>
      <c r="J28" s="73">
        <f t="shared" si="3"/>
        <v>37048436</v>
      </c>
    </row>
    <row r="29" spans="2:13" ht="19.5" customHeight="1">
      <c r="B29" s="67">
        <v>42704</v>
      </c>
      <c r="C29" s="68" t="s">
        <v>0</v>
      </c>
      <c r="D29" s="69">
        <v>149050000</v>
      </c>
      <c r="E29" s="67">
        <f t="shared" si="0"/>
        <v>42704</v>
      </c>
      <c r="F29" s="57">
        <v>42735</v>
      </c>
      <c r="G29" s="68">
        <f t="shared" si="1"/>
        <v>32</v>
      </c>
      <c r="H29" s="53">
        <v>275</v>
      </c>
      <c r="I29" s="70">
        <f t="shared" si="2"/>
        <v>149050000</v>
      </c>
      <c r="J29" s="73">
        <f t="shared" si="3"/>
        <v>17344000</v>
      </c>
    </row>
    <row r="30" spans="2:13" ht="19.5" customHeight="1">
      <c r="B30" s="67">
        <v>42705</v>
      </c>
      <c r="C30" s="68" t="s">
        <v>37</v>
      </c>
      <c r="D30" s="69">
        <v>-253578184</v>
      </c>
      <c r="E30" s="67">
        <f t="shared" si="0"/>
        <v>42705</v>
      </c>
      <c r="F30" s="57">
        <v>42735</v>
      </c>
      <c r="G30" s="68">
        <f t="shared" si="1"/>
        <v>31</v>
      </c>
      <c r="H30" s="53">
        <v>275</v>
      </c>
      <c r="I30" s="70">
        <f t="shared" si="2"/>
        <v>-253578100</v>
      </c>
      <c r="J30" s="73">
        <f t="shared" si="3"/>
        <v>-28585167</v>
      </c>
      <c r="L30" s="76"/>
    </row>
    <row r="31" spans="2:13" ht="19.5" customHeight="1">
      <c r="B31" s="67">
        <v>42719</v>
      </c>
      <c r="C31" s="68" t="s">
        <v>38</v>
      </c>
      <c r="D31" s="69">
        <v>301374000</v>
      </c>
      <c r="E31" s="67">
        <f t="shared" si="0"/>
        <v>42719</v>
      </c>
      <c r="F31" s="57">
        <v>42735</v>
      </c>
      <c r="G31" s="68">
        <f t="shared" si="1"/>
        <v>17</v>
      </c>
      <c r="H31" s="53">
        <v>275</v>
      </c>
      <c r="I31" s="70">
        <f t="shared" si="2"/>
        <v>301374000</v>
      </c>
      <c r="J31" s="73">
        <f t="shared" si="3"/>
        <v>18630392</v>
      </c>
      <c r="L31" s="71">
        <f>J34*1.6/100*275/365</f>
        <v>551900485.80383563</v>
      </c>
    </row>
    <row r="32" spans="2:13" ht="19.5" customHeight="1">
      <c r="B32" s="67">
        <v>42729</v>
      </c>
      <c r="C32" s="68" t="s">
        <v>4</v>
      </c>
      <c r="D32" s="69">
        <v>275344000</v>
      </c>
      <c r="E32" s="67">
        <f t="shared" si="0"/>
        <v>42729</v>
      </c>
      <c r="F32" s="57">
        <v>42735</v>
      </c>
      <c r="G32" s="68">
        <f t="shared" si="1"/>
        <v>7</v>
      </c>
      <c r="H32" s="53">
        <v>275</v>
      </c>
      <c r="I32" s="70">
        <f t="shared" si="2"/>
        <v>275344000</v>
      </c>
      <c r="J32" s="73">
        <f t="shared" si="3"/>
        <v>7008756</v>
      </c>
      <c r="L32" s="86">
        <v>551499936</v>
      </c>
      <c r="M32" s="53" t="s">
        <v>40</v>
      </c>
    </row>
    <row r="33" spans="2:14" ht="19.5" customHeight="1">
      <c r="B33" s="67">
        <v>42734</v>
      </c>
      <c r="C33" s="68" t="s">
        <v>0</v>
      </c>
      <c r="D33" s="69">
        <v>299054000</v>
      </c>
      <c r="E33" s="67">
        <f t="shared" si="0"/>
        <v>42734</v>
      </c>
      <c r="F33" s="57">
        <v>42735</v>
      </c>
      <c r="G33" s="68">
        <f t="shared" si="1"/>
        <v>2</v>
      </c>
      <c r="H33" s="53">
        <v>275</v>
      </c>
      <c r="I33" s="70">
        <f t="shared" si="2"/>
        <v>299054000</v>
      </c>
      <c r="J33" s="73">
        <f t="shared" si="3"/>
        <v>2174938</v>
      </c>
      <c r="K33" s="76"/>
      <c r="L33" s="76">
        <f>L31-L32</f>
        <v>400549.80383563042</v>
      </c>
    </row>
    <row r="34" spans="2:14" ht="19.5" customHeight="1">
      <c r="B34" s="67"/>
      <c r="C34" s="68"/>
      <c r="D34" s="69"/>
      <c r="E34" s="67"/>
      <c r="F34" s="67"/>
      <c r="G34" s="68"/>
      <c r="H34" s="68"/>
      <c r="I34" s="70"/>
      <c r="J34" s="73">
        <f>SUM(J4:J33)</f>
        <v>45782653936</v>
      </c>
    </row>
    <row r="35" spans="2:14" ht="19.5" customHeight="1">
      <c r="B35" s="67"/>
      <c r="C35" s="68"/>
      <c r="D35" s="69"/>
      <c r="E35" s="67"/>
      <c r="F35" s="67"/>
      <c r="G35" s="68"/>
      <c r="H35" s="68"/>
      <c r="I35" s="70"/>
      <c r="J35" s="73"/>
      <c r="K35" s="76"/>
    </row>
    <row r="36" spans="2:14" ht="19.5" customHeight="1">
      <c r="B36" s="67">
        <v>42736</v>
      </c>
      <c r="C36" s="68"/>
      <c r="D36" s="69">
        <v>47751286491</v>
      </c>
      <c r="E36" s="67">
        <f t="shared" ref="E36:E45" si="4">B36</f>
        <v>42736</v>
      </c>
      <c r="F36" s="67">
        <v>42825</v>
      </c>
      <c r="G36" s="68">
        <f t="shared" ref="G36:G45" si="5">F36-B36+1</f>
        <v>90</v>
      </c>
      <c r="H36" s="68">
        <v>90</v>
      </c>
      <c r="I36" s="70">
        <f t="shared" ref="I36:I45" si="6">ROUNDDOWN(D36/100,0)*100</f>
        <v>47751286400</v>
      </c>
      <c r="J36" s="73">
        <f t="shared" ref="J36:J45" si="7">ROUNDDOWN(I36*G36/H36,0)</f>
        <v>47751286400</v>
      </c>
    </row>
    <row r="37" spans="2:14" ht="19.5" customHeight="1">
      <c r="B37" s="67">
        <v>42736</v>
      </c>
      <c r="C37" s="68" t="s">
        <v>37</v>
      </c>
      <c r="D37" s="69">
        <v>-360000000</v>
      </c>
      <c r="E37" s="67">
        <f t="shared" si="4"/>
        <v>42736</v>
      </c>
      <c r="F37" s="67">
        <v>42825</v>
      </c>
      <c r="G37" s="68">
        <f t="shared" si="5"/>
        <v>90</v>
      </c>
      <c r="H37" s="68">
        <v>90</v>
      </c>
      <c r="I37" s="70">
        <f t="shared" si="6"/>
        <v>-360000000</v>
      </c>
      <c r="J37" s="73">
        <f t="shared" si="7"/>
        <v>-360000000</v>
      </c>
    </row>
    <row r="38" spans="2:14" ht="19.5" customHeight="1">
      <c r="B38" s="67">
        <v>42760</v>
      </c>
      <c r="C38" s="68" t="s">
        <v>4</v>
      </c>
      <c r="D38" s="69">
        <v>276400000</v>
      </c>
      <c r="E38" s="67">
        <f t="shared" si="4"/>
        <v>42760</v>
      </c>
      <c r="F38" s="67">
        <v>42825</v>
      </c>
      <c r="G38" s="68">
        <f t="shared" si="5"/>
        <v>66</v>
      </c>
      <c r="H38" s="68">
        <v>90</v>
      </c>
      <c r="I38" s="70">
        <f t="shared" si="6"/>
        <v>276400000</v>
      </c>
      <c r="J38" s="73">
        <f t="shared" si="7"/>
        <v>202693333</v>
      </c>
    </row>
    <row r="39" spans="2:14" ht="19.5" customHeight="1">
      <c r="B39" s="67">
        <v>42765</v>
      </c>
      <c r="C39" s="68" t="s">
        <v>0</v>
      </c>
      <c r="D39" s="69">
        <v>261400000</v>
      </c>
      <c r="E39" s="67">
        <f t="shared" si="4"/>
        <v>42765</v>
      </c>
      <c r="F39" s="67">
        <v>42825</v>
      </c>
      <c r="G39" s="68">
        <f t="shared" si="5"/>
        <v>61</v>
      </c>
      <c r="H39" s="68">
        <v>90</v>
      </c>
      <c r="I39" s="70">
        <f t="shared" si="6"/>
        <v>261400000</v>
      </c>
      <c r="J39" s="73">
        <f t="shared" si="7"/>
        <v>177171111</v>
      </c>
    </row>
    <row r="40" spans="2:14" ht="19.5" customHeight="1">
      <c r="B40" s="67">
        <v>42767</v>
      </c>
      <c r="C40" s="68" t="s">
        <v>37</v>
      </c>
      <c r="D40" s="69">
        <v>-434000000</v>
      </c>
      <c r="E40" s="67">
        <f t="shared" si="4"/>
        <v>42767</v>
      </c>
      <c r="F40" s="67">
        <v>42825</v>
      </c>
      <c r="G40" s="68">
        <f t="shared" si="5"/>
        <v>59</v>
      </c>
      <c r="H40" s="68">
        <v>90</v>
      </c>
      <c r="I40" s="70">
        <f t="shared" si="6"/>
        <v>-434000000</v>
      </c>
      <c r="J40" s="73">
        <f t="shared" si="7"/>
        <v>-284511111</v>
      </c>
      <c r="K40" s="75"/>
      <c r="L40" s="71"/>
    </row>
    <row r="41" spans="2:14" ht="19.5" customHeight="1">
      <c r="B41" s="67">
        <v>42791</v>
      </c>
      <c r="C41" s="68" t="s">
        <v>4</v>
      </c>
      <c r="D41" s="69">
        <v>276800000</v>
      </c>
      <c r="E41" s="67">
        <f t="shared" si="4"/>
        <v>42791</v>
      </c>
      <c r="F41" s="67">
        <v>42825</v>
      </c>
      <c r="G41" s="68">
        <f t="shared" si="5"/>
        <v>35</v>
      </c>
      <c r="H41" s="68">
        <v>90</v>
      </c>
      <c r="I41" s="70">
        <f t="shared" si="6"/>
        <v>276800000</v>
      </c>
      <c r="J41" s="73">
        <f t="shared" si="7"/>
        <v>107644444</v>
      </c>
      <c r="L41" s="52" t="s">
        <v>42</v>
      </c>
    </row>
    <row r="42" spans="2:14" ht="19.5" customHeight="1">
      <c r="B42" s="85">
        <v>42794</v>
      </c>
      <c r="C42" s="68" t="s">
        <v>0</v>
      </c>
      <c r="D42" s="69">
        <v>286800000</v>
      </c>
      <c r="E42" s="67">
        <f t="shared" si="4"/>
        <v>42794</v>
      </c>
      <c r="F42" s="67">
        <v>42825</v>
      </c>
      <c r="G42" s="68">
        <f t="shared" si="5"/>
        <v>32</v>
      </c>
      <c r="H42" s="68">
        <v>90</v>
      </c>
      <c r="I42" s="70">
        <f t="shared" si="6"/>
        <v>286800000</v>
      </c>
      <c r="J42" s="73">
        <f t="shared" si="7"/>
        <v>101973333</v>
      </c>
      <c r="K42" s="76">
        <f>SUM(J36:J45)</f>
        <v>47779870488</v>
      </c>
      <c r="L42" s="71">
        <f>K42*1.6/100*90/365</f>
        <v>188501406.85676712</v>
      </c>
    </row>
    <row r="43" spans="2:14" ht="19.5" customHeight="1" thickBot="1">
      <c r="B43" s="67">
        <v>42795</v>
      </c>
      <c r="C43" s="68" t="s">
        <v>0</v>
      </c>
      <c r="D43" s="69">
        <v>316600000</v>
      </c>
      <c r="E43" s="67">
        <f t="shared" si="4"/>
        <v>42795</v>
      </c>
      <c r="F43" s="67">
        <v>42825</v>
      </c>
      <c r="G43" s="68">
        <f t="shared" si="5"/>
        <v>31</v>
      </c>
      <c r="H43" s="68">
        <v>90</v>
      </c>
      <c r="I43" s="70">
        <f t="shared" si="6"/>
        <v>316600000</v>
      </c>
      <c r="J43" s="73">
        <f t="shared" si="7"/>
        <v>109051111</v>
      </c>
    </row>
    <row r="44" spans="2:14" ht="19.5" customHeight="1" thickBot="1">
      <c r="B44" s="67">
        <v>42819</v>
      </c>
      <c r="C44" s="68" t="s">
        <v>4</v>
      </c>
      <c r="D44" s="69">
        <v>277000000</v>
      </c>
      <c r="E44" s="67">
        <f t="shared" si="4"/>
        <v>42819</v>
      </c>
      <c r="F44" s="67">
        <v>42825</v>
      </c>
      <c r="G44" s="68">
        <f t="shared" si="5"/>
        <v>7</v>
      </c>
      <c r="H44" s="68">
        <v>90</v>
      </c>
      <c r="I44" s="70">
        <f t="shared" si="6"/>
        <v>277000000</v>
      </c>
      <c r="J44" s="73">
        <f t="shared" si="7"/>
        <v>21544444</v>
      </c>
      <c r="K44" s="89"/>
      <c r="L44" s="90"/>
      <c r="M44" s="90"/>
      <c r="N44" s="91"/>
    </row>
    <row r="45" spans="2:14" ht="19.5" customHeight="1">
      <c r="B45" s="67">
        <v>42824</v>
      </c>
      <c r="C45" s="68" t="s">
        <v>37</v>
      </c>
      <c r="D45" s="69">
        <v>-2114216000</v>
      </c>
      <c r="E45" s="67">
        <f t="shared" si="4"/>
        <v>42824</v>
      </c>
      <c r="F45" s="67">
        <v>42825</v>
      </c>
      <c r="G45" s="68">
        <f t="shared" si="5"/>
        <v>2</v>
      </c>
      <c r="H45" s="68">
        <v>90</v>
      </c>
      <c r="I45" s="70">
        <f t="shared" si="6"/>
        <v>-2114216000</v>
      </c>
      <c r="J45" s="73">
        <f t="shared" si="7"/>
        <v>-46982577</v>
      </c>
      <c r="K45" s="59"/>
      <c r="L45" s="60"/>
      <c r="M45" s="60"/>
      <c r="N45" s="61"/>
    </row>
    <row r="46" spans="2:14" ht="19.5" customHeight="1" thickBot="1">
      <c r="B46" s="57"/>
      <c r="D46" s="58">
        <f>SUM(D36:D45)</f>
        <v>46538070491</v>
      </c>
      <c r="E46" s="57"/>
      <c r="F46" s="57"/>
      <c r="I46" s="52">
        <f>SUM(I36:I45)</f>
        <v>46538070400</v>
      </c>
      <c r="J46" s="71">
        <f>SUM(J36:J45)</f>
        <v>47779870488</v>
      </c>
      <c r="K46" s="62"/>
      <c r="L46" s="56"/>
      <c r="M46" s="56"/>
      <c r="N46" s="64"/>
    </row>
    <row r="47" spans="2:14" ht="19.5" customHeight="1" thickBot="1">
      <c r="B47" s="57"/>
      <c r="D47" s="58"/>
      <c r="E47" s="57"/>
      <c r="F47" s="57"/>
      <c r="K47" s="62"/>
      <c r="L47" s="56"/>
      <c r="M47" s="56"/>
      <c r="N47" s="64"/>
    </row>
    <row r="48" spans="2:14" ht="19.5" customHeight="1">
      <c r="B48" s="57"/>
      <c r="D48" s="58"/>
      <c r="E48" s="57"/>
      <c r="F48" s="57"/>
    </row>
    <row r="49" spans="1:14" ht="19.5" customHeight="1">
      <c r="A49" s="53" t="s">
        <v>29</v>
      </c>
      <c r="B49" s="57">
        <v>42826</v>
      </c>
      <c r="C49" s="53" t="s">
        <v>5</v>
      </c>
      <c r="D49" s="58">
        <f>D47+N47</f>
        <v>0</v>
      </c>
      <c r="E49" s="57">
        <f t="shared" ref="E49:E61" si="8">B49</f>
        <v>42826</v>
      </c>
      <c r="F49" s="57">
        <v>43190</v>
      </c>
      <c r="G49" s="53">
        <f t="shared" ref="G49:G61" si="9">F49-B49+1</f>
        <v>365</v>
      </c>
      <c r="H49" s="53">
        <v>365</v>
      </c>
      <c r="I49" s="52">
        <f t="shared" ref="I49:I61" si="10">ROUNDDOWN(D49/100,0)*100</f>
        <v>0</v>
      </c>
      <c r="J49" s="71">
        <f t="shared" ref="J49:J61" si="11">ROUNDDOWN(I49*G49/H49,0)</f>
        <v>0</v>
      </c>
    </row>
    <row r="50" spans="1:14" ht="19.5" customHeight="1">
      <c r="B50" s="57">
        <v>42850</v>
      </c>
      <c r="C50" s="53" t="s">
        <v>4</v>
      </c>
      <c r="D50" s="58">
        <v>0</v>
      </c>
      <c r="E50" s="57">
        <f t="shared" si="8"/>
        <v>42850</v>
      </c>
      <c r="F50" s="57">
        <v>43190</v>
      </c>
      <c r="G50" s="53">
        <f t="shared" si="9"/>
        <v>341</v>
      </c>
      <c r="H50" s="53">
        <v>365</v>
      </c>
      <c r="I50" s="52">
        <f t="shared" si="10"/>
        <v>0</v>
      </c>
      <c r="J50" s="71">
        <f t="shared" si="11"/>
        <v>0</v>
      </c>
    </row>
    <row r="51" spans="1:14" ht="19.5" customHeight="1">
      <c r="B51" s="57">
        <v>42880</v>
      </c>
      <c r="C51" s="53" t="s">
        <v>4</v>
      </c>
      <c r="D51" s="58">
        <v>0</v>
      </c>
      <c r="E51" s="57">
        <f t="shared" si="8"/>
        <v>42880</v>
      </c>
      <c r="F51" s="57">
        <v>43190</v>
      </c>
      <c r="G51" s="53">
        <f t="shared" si="9"/>
        <v>311</v>
      </c>
      <c r="H51" s="53">
        <v>365</v>
      </c>
      <c r="I51" s="52">
        <f t="shared" si="10"/>
        <v>0</v>
      </c>
      <c r="J51" s="71">
        <f t="shared" si="11"/>
        <v>0</v>
      </c>
    </row>
    <row r="52" spans="1:14" ht="19.5" customHeight="1">
      <c r="B52" s="57">
        <v>42911</v>
      </c>
      <c r="C52" s="53" t="s">
        <v>4</v>
      </c>
      <c r="D52" s="58">
        <v>0</v>
      </c>
      <c r="E52" s="57">
        <f t="shared" si="8"/>
        <v>42911</v>
      </c>
      <c r="F52" s="57">
        <v>43190</v>
      </c>
      <c r="G52" s="53">
        <f t="shared" si="9"/>
        <v>280</v>
      </c>
      <c r="H52" s="53">
        <v>365</v>
      </c>
      <c r="I52" s="52">
        <f t="shared" si="10"/>
        <v>0</v>
      </c>
      <c r="J52" s="71">
        <f t="shared" si="11"/>
        <v>0</v>
      </c>
    </row>
    <row r="53" spans="1:14" ht="19.5" customHeight="1">
      <c r="B53" s="57">
        <v>42941</v>
      </c>
      <c r="C53" s="53" t="s">
        <v>4</v>
      </c>
      <c r="D53" s="58">
        <v>0</v>
      </c>
      <c r="E53" s="57">
        <f t="shared" si="8"/>
        <v>42941</v>
      </c>
      <c r="F53" s="57">
        <v>43190</v>
      </c>
      <c r="G53" s="53">
        <f t="shared" si="9"/>
        <v>250</v>
      </c>
      <c r="H53" s="53">
        <v>365</v>
      </c>
      <c r="I53" s="52">
        <f t="shared" si="10"/>
        <v>0</v>
      </c>
      <c r="J53" s="71">
        <f t="shared" si="11"/>
        <v>0</v>
      </c>
    </row>
    <row r="54" spans="1:14" ht="19.5" customHeight="1">
      <c r="B54" s="57">
        <v>42972</v>
      </c>
      <c r="C54" s="53" t="s">
        <v>4</v>
      </c>
      <c r="D54" s="58">
        <v>0</v>
      </c>
      <c r="E54" s="57">
        <f t="shared" si="8"/>
        <v>42972</v>
      </c>
      <c r="F54" s="57">
        <v>43190</v>
      </c>
      <c r="G54" s="53">
        <f t="shared" si="9"/>
        <v>219</v>
      </c>
      <c r="H54" s="53">
        <v>365</v>
      </c>
      <c r="I54" s="52">
        <f t="shared" si="10"/>
        <v>0</v>
      </c>
      <c r="J54" s="71">
        <f t="shared" si="11"/>
        <v>0</v>
      </c>
    </row>
    <row r="55" spans="1:14" ht="19.5" customHeight="1">
      <c r="B55" s="57">
        <v>43003</v>
      </c>
      <c r="C55" s="53" t="s">
        <v>4</v>
      </c>
      <c r="D55" s="58">
        <v>0</v>
      </c>
      <c r="E55" s="57">
        <f t="shared" si="8"/>
        <v>43003</v>
      </c>
      <c r="F55" s="57">
        <v>43190</v>
      </c>
      <c r="G55" s="53">
        <f t="shared" si="9"/>
        <v>188</v>
      </c>
      <c r="H55" s="53">
        <v>365</v>
      </c>
      <c r="I55" s="52">
        <f t="shared" si="10"/>
        <v>0</v>
      </c>
      <c r="J55" s="71">
        <f t="shared" si="11"/>
        <v>0</v>
      </c>
    </row>
    <row r="56" spans="1:14" ht="19.5" customHeight="1">
      <c r="B56" s="57">
        <v>43033</v>
      </c>
      <c r="C56" s="53" t="s">
        <v>4</v>
      </c>
      <c r="D56" s="58">
        <v>0</v>
      </c>
      <c r="E56" s="57">
        <f t="shared" si="8"/>
        <v>43033</v>
      </c>
      <c r="F56" s="57">
        <v>43190</v>
      </c>
      <c r="G56" s="53">
        <f t="shared" si="9"/>
        <v>158</v>
      </c>
      <c r="H56" s="53">
        <v>365</v>
      </c>
      <c r="I56" s="52">
        <f t="shared" si="10"/>
        <v>0</v>
      </c>
      <c r="J56" s="71">
        <f t="shared" si="11"/>
        <v>0</v>
      </c>
    </row>
    <row r="57" spans="1:14" ht="19.5" customHeight="1">
      <c r="B57" s="57">
        <v>43064</v>
      </c>
      <c r="C57" s="53" t="s">
        <v>4</v>
      </c>
      <c r="D57" s="58">
        <v>0</v>
      </c>
      <c r="E57" s="57">
        <f t="shared" si="8"/>
        <v>43064</v>
      </c>
      <c r="F57" s="57">
        <v>43190</v>
      </c>
      <c r="G57" s="53">
        <f t="shared" si="9"/>
        <v>127</v>
      </c>
      <c r="H57" s="53">
        <v>365</v>
      </c>
      <c r="I57" s="52">
        <f t="shared" si="10"/>
        <v>0</v>
      </c>
      <c r="J57" s="71">
        <f t="shared" si="11"/>
        <v>0</v>
      </c>
    </row>
    <row r="58" spans="1:14" ht="19.5" customHeight="1" thickBot="1">
      <c r="B58" s="57">
        <v>43094</v>
      </c>
      <c r="C58" s="53" t="s">
        <v>4</v>
      </c>
      <c r="D58" s="58">
        <v>0</v>
      </c>
      <c r="E58" s="57">
        <f t="shared" si="8"/>
        <v>43094</v>
      </c>
      <c r="F58" s="57">
        <v>43190</v>
      </c>
      <c r="G58" s="53">
        <f t="shared" si="9"/>
        <v>97</v>
      </c>
      <c r="H58" s="53">
        <v>365</v>
      </c>
      <c r="I58" s="52">
        <f t="shared" si="10"/>
        <v>0</v>
      </c>
      <c r="J58" s="71">
        <f t="shared" si="11"/>
        <v>0</v>
      </c>
    </row>
    <row r="59" spans="1:14" ht="19.5" customHeight="1" thickBot="1">
      <c r="B59" s="57">
        <v>43125</v>
      </c>
      <c r="C59" s="53" t="s">
        <v>4</v>
      </c>
      <c r="D59" s="58">
        <v>0</v>
      </c>
      <c r="E59" s="57">
        <f t="shared" si="8"/>
        <v>43125</v>
      </c>
      <c r="F59" s="57">
        <v>43190</v>
      </c>
      <c r="G59" s="53">
        <f t="shared" si="9"/>
        <v>66</v>
      </c>
      <c r="H59" s="53">
        <v>365</v>
      </c>
      <c r="I59" s="52">
        <f t="shared" si="10"/>
        <v>0</v>
      </c>
      <c r="J59" s="71">
        <f t="shared" si="11"/>
        <v>0</v>
      </c>
      <c r="K59" s="94" t="s">
        <v>15</v>
      </c>
      <c r="L59" s="95"/>
      <c r="M59" s="95"/>
      <c r="N59" s="96"/>
    </row>
    <row r="60" spans="1:14" ht="19.5" customHeight="1">
      <c r="B60" s="57">
        <v>43156</v>
      </c>
      <c r="C60" s="53" t="s">
        <v>4</v>
      </c>
      <c r="D60" s="58">
        <v>0</v>
      </c>
      <c r="E60" s="57">
        <f t="shared" si="8"/>
        <v>43156</v>
      </c>
      <c r="F60" s="57">
        <v>43190</v>
      </c>
      <c r="G60" s="53">
        <f t="shared" si="9"/>
        <v>35</v>
      </c>
      <c r="H60" s="53">
        <v>365</v>
      </c>
      <c r="I60" s="52">
        <f t="shared" si="10"/>
        <v>0</v>
      </c>
      <c r="J60" s="71">
        <f t="shared" si="11"/>
        <v>0</v>
      </c>
      <c r="K60" s="59" t="s">
        <v>11</v>
      </c>
      <c r="L60" s="60" t="s">
        <v>12</v>
      </c>
      <c r="M60" s="60" t="s">
        <v>13</v>
      </c>
      <c r="N60" s="61" t="s">
        <v>14</v>
      </c>
    </row>
    <row r="61" spans="1:14" ht="19.5" customHeight="1" thickBot="1">
      <c r="B61" s="57">
        <v>43184</v>
      </c>
      <c r="C61" s="53" t="s">
        <v>4</v>
      </c>
      <c r="D61" s="58">
        <v>0</v>
      </c>
      <c r="E61" s="57">
        <f t="shared" si="8"/>
        <v>43184</v>
      </c>
      <c r="F61" s="57">
        <v>43190</v>
      </c>
      <c r="G61" s="53">
        <f t="shared" si="9"/>
        <v>7</v>
      </c>
      <c r="H61" s="53">
        <v>365</v>
      </c>
      <c r="I61" s="52">
        <f t="shared" si="10"/>
        <v>0</v>
      </c>
      <c r="J61" s="71">
        <f t="shared" si="11"/>
        <v>0</v>
      </c>
      <c r="K61" s="62">
        <f>ROUNDDOWN(J62*1.6/100,0)</f>
        <v>0</v>
      </c>
      <c r="L61" s="63">
        <f>ROUNDDOWN(K61*0.15315,0)</f>
        <v>0</v>
      </c>
      <c r="M61" s="56">
        <f>ROUNDDOWN(K61*0.05,0)</f>
        <v>0</v>
      </c>
      <c r="N61" s="64">
        <f>K61-L61-M61</f>
        <v>0</v>
      </c>
    </row>
    <row r="62" spans="1:14" ht="19.5" customHeight="1">
      <c r="D62" s="58">
        <f>SUM(D49:D61)</f>
        <v>0</v>
      </c>
      <c r="J62" s="71">
        <f>SUM(J49:J61)</f>
        <v>0</v>
      </c>
      <c r="L62" s="53" t="s">
        <v>16</v>
      </c>
    </row>
    <row r="63" spans="1:14" ht="19.5" customHeight="1">
      <c r="D63" s="58"/>
    </row>
    <row r="64" spans="1:14" ht="19.5" customHeight="1">
      <c r="A64" s="53" t="s">
        <v>30</v>
      </c>
      <c r="B64" s="57">
        <v>43191</v>
      </c>
      <c r="C64" s="53" t="s">
        <v>5</v>
      </c>
      <c r="D64" s="58">
        <f>D62+N61</f>
        <v>0</v>
      </c>
      <c r="E64" s="57">
        <f t="shared" ref="E64:E76" si="12">B64</f>
        <v>43191</v>
      </c>
      <c r="F64" s="57">
        <v>43555</v>
      </c>
      <c r="G64" s="53">
        <f t="shared" ref="G64:G76" si="13">F64-B64+1</f>
        <v>365</v>
      </c>
      <c r="H64" s="53">
        <v>365</v>
      </c>
      <c r="I64" s="52">
        <f t="shared" ref="I64:I76" si="14">ROUNDDOWN(D64/100,0)*100</f>
        <v>0</v>
      </c>
      <c r="J64" s="71">
        <f t="shared" ref="J64:J76" si="15">ROUNDDOWN(I64*G64/H64,0)</f>
        <v>0</v>
      </c>
    </row>
    <row r="65" spans="1:14" ht="19.5" customHeight="1">
      <c r="B65" s="57">
        <v>43215</v>
      </c>
      <c r="C65" s="53" t="s">
        <v>4</v>
      </c>
      <c r="D65" s="58">
        <v>0</v>
      </c>
      <c r="E65" s="57">
        <f t="shared" si="12"/>
        <v>43215</v>
      </c>
      <c r="F65" s="57">
        <v>43555</v>
      </c>
      <c r="G65" s="53">
        <f t="shared" si="13"/>
        <v>341</v>
      </c>
      <c r="H65" s="53">
        <v>365</v>
      </c>
      <c r="I65" s="52">
        <f t="shared" si="14"/>
        <v>0</v>
      </c>
      <c r="J65" s="71">
        <f t="shared" si="15"/>
        <v>0</v>
      </c>
    </row>
    <row r="66" spans="1:14" ht="19.5" customHeight="1">
      <c r="B66" s="57">
        <v>43245</v>
      </c>
      <c r="C66" s="53" t="s">
        <v>4</v>
      </c>
      <c r="D66" s="58">
        <v>0</v>
      </c>
      <c r="E66" s="57">
        <f t="shared" si="12"/>
        <v>43245</v>
      </c>
      <c r="F66" s="57">
        <v>43555</v>
      </c>
      <c r="G66" s="53">
        <f t="shared" si="13"/>
        <v>311</v>
      </c>
      <c r="H66" s="53">
        <v>365</v>
      </c>
      <c r="I66" s="52">
        <f t="shared" si="14"/>
        <v>0</v>
      </c>
      <c r="J66" s="71">
        <f t="shared" si="15"/>
        <v>0</v>
      </c>
    </row>
    <row r="67" spans="1:14" ht="19.5" customHeight="1">
      <c r="B67" s="57">
        <v>43276</v>
      </c>
      <c r="C67" s="53" t="s">
        <v>4</v>
      </c>
      <c r="D67" s="58">
        <v>0</v>
      </c>
      <c r="E67" s="57">
        <f t="shared" si="12"/>
        <v>43276</v>
      </c>
      <c r="F67" s="57">
        <v>43555</v>
      </c>
      <c r="G67" s="53">
        <f t="shared" si="13"/>
        <v>280</v>
      </c>
      <c r="H67" s="53">
        <v>365</v>
      </c>
      <c r="I67" s="52">
        <f t="shared" si="14"/>
        <v>0</v>
      </c>
      <c r="J67" s="71">
        <f t="shared" si="15"/>
        <v>0</v>
      </c>
    </row>
    <row r="68" spans="1:14" ht="19.5" customHeight="1">
      <c r="B68" s="57">
        <v>43306</v>
      </c>
      <c r="C68" s="53" t="s">
        <v>4</v>
      </c>
      <c r="D68" s="58">
        <v>0</v>
      </c>
      <c r="E68" s="57">
        <f t="shared" si="12"/>
        <v>43306</v>
      </c>
      <c r="F68" s="57">
        <v>43555</v>
      </c>
      <c r="G68" s="53">
        <f t="shared" si="13"/>
        <v>250</v>
      </c>
      <c r="H68" s="53">
        <v>365</v>
      </c>
      <c r="I68" s="52">
        <f t="shared" si="14"/>
        <v>0</v>
      </c>
      <c r="J68" s="71">
        <f t="shared" si="15"/>
        <v>0</v>
      </c>
    </row>
    <row r="69" spans="1:14" ht="19.5" customHeight="1">
      <c r="B69" s="57">
        <v>43337</v>
      </c>
      <c r="C69" s="53" t="s">
        <v>4</v>
      </c>
      <c r="D69" s="58">
        <v>0</v>
      </c>
      <c r="E69" s="57">
        <f t="shared" si="12"/>
        <v>43337</v>
      </c>
      <c r="F69" s="57">
        <v>43555</v>
      </c>
      <c r="G69" s="53">
        <f t="shared" si="13"/>
        <v>219</v>
      </c>
      <c r="H69" s="53">
        <v>365</v>
      </c>
      <c r="I69" s="52">
        <f t="shared" si="14"/>
        <v>0</v>
      </c>
      <c r="J69" s="71">
        <f t="shared" si="15"/>
        <v>0</v>
      </c>
    </row>
    <row r="70" spans="1:14" ht="19.5" customHeight="1" thickBot="1">
      <c r="B70" s="57">
        <v>43368</v>
      </c>
      <c r="C70" s="53" t="s">
        <v>4</v>
      </c>
      <c r="D70" s="58">
        <v>0</v>
      </c>
      <c r="E70" s="57">
        <f t="shared" si="12"/>
        <v>43368</v>
      </c>
      <c r="F70" s="57">
        <v>43555</v>
      </c>
      <c r="G70" s="53">
        <f t="shared" si="13"/>
        <v>188</v>
      </c>
      <c r="H70" s="53">
        <v>365</v>
      </c>
      <c r="I70" s="52">
        <f t="shared" si="14"/>
        <v>0</v>
      </c>
      <c r="J70" s="71">
        <f t="shared" si="15"/>
        <v>0</v>
      </c>
    </row>
    <row r="71" spans="1:14" ht="19.5" customHeight="1" thickBot="1">
      <c r="B71" s="57">
        <v>43398</v>
      </c>
      <c r="C71" s="53" t="s">
        <v>4</v>
      </c>
      <c r="D71" s="58">
        <v>0</v>
      </c>
      <c r="E71" s="57">
        <f t="shared" si="12"/>
        <v>43398</v>
      </c>
      <c r="F71" s="57">
        <v>43555</v>
      </c>
      <c r="G71" s="53">
        <f t="shared" si="13"/>
        <v>158</v>
      </c>
      <c r="H71" s="53">
        <v>365</v>
      </c>
      <c r="I71" s="52">
        <f t="shared" si="14"/>
        <v>0</v>
      </c>
      <c r="J71" s="71">
        <f t="shared" si="15"/>
        <v>0</v>
      </c>
      <c r="K71" s="94" t="s">
        <v>15</v>
      </c>
      <c r="L71" s="95"/>
      <c r="M71" s="95"/>
      <c r="N71" s="96"/>
    </row>
    <row r="72" spans="1:14" ht="19.5" customHeight="1">
      <c r="B72" s="57">
        <v>43429</v>
      </c>
      <c r="C72" s="53" t="s">
        <v>4</v>
      </c>
      <c r="D72" s="58">
        <v>0</v>
      </c>
      <c r="E72" s="57">
        <f t="shared" si="12"/>
        <v>43429</v>
      </c>
      <c r="F72" s="57">
        <v>43555</v>
      </c>
      <c r="G72" s="53">
        <f t="shared" si="13"/>
        <v>127</v>
      </c>
      <c r="H72" s="53">
        <v>365</v>
      </c>
      <c r="I72" s="52">
        <f t="shared" si="14"/>
        <v>0</v>
      </c>
      <c r="J72" s="71">
        <f t="shared" si="15"/>
        <v>0</v>
      </c>
      <c r="K72" s="59" t="s">
        <v>11</v>
      </c>
      <c r="L72" s="60" t="s">
        <v>12</v>
      </c>
      <c r="M72" s="60" t="s">
        <v>13</v>
      </c>
      <c r="N72" s="61" t="s">
        <v>14</v>
      </c>
    </row>
    <row r="73" spans="1:14" ht="19.5" customHeight="1" thickBot="1">
      <c r="B73" s="57">
        <v>43459</v>
      </c>
      <c r="C73" s="53" t="s">
        <v>4</v>
      </c>
      <c r="D73" s="58">
        <v>0</v>
      </c>
      <c r="E73" s="57">
        <f t="shared" si="12"/>
        <v>43459</v>
      </c>
      <c r="F73" s="57">
        <v>43555</v>
      </c>
      <c r="G73" s="53">
        <f t="shared" si="13"/>
        <v>97</v>
      </c>
      <c r="H73" s="53">
        <v>365</v>
      </c>
      <c r="I73" s="52">
        <f t="shared" si="14"/>
        <v>0</v>
      </c>
      <c r="J73" s="71">
        <f t="shared" si="15"/>
        <v>0</v>
      </c>
      <c r="K73" s="62">
        <f>ROUNDDOWN(J77*1.6/100,0)</f>
        <v>0</v>
      </c>
      <c r="L73" s="63">
        <f>ROUNDDOWN(K73*0.15315,0)</f>
        <v>0</v>
      </c>
      <c r="M73" s="56">
        <f>ROUNDDOWN(K73*0.05,0)</f>
        <v>0</v>
      </c>
      <c r="N73" s="64">
        <f>K73-L73-M73</f>
        <v>0</v>
      </c>
    </row>
    <row r="74" spans="1:14" ht="19.5" customHeight="1">
      <c r="B74" s="57">
        <v>43490</v>
      </c>
      <c r="C74" s="53" t="s">
        <v>4</v>
      </c>
      <c r="D74" s="58">
        <v>0</v>
      </c>
      <c r="E74" s="57">
        <f t="shared" si="12"/>
        <v>43490</v>
      </c>
      <c r="F74" s="57">
        <v>43555</v>
      </c>
      <c r="G74" s="53">
        <f t="shared" si="13"/>
        <v>66</v>
      </c>
      <c r="H74" s="53">
        <v>365</v>
      </c>
      <c r="I74" s="52">
        <f t="shared" si="14"/>
        <v>0</v>
      </c>
      <c r="J74" s="71">
        <f t="shared" si="15"/>
        <v>0</v>
      </c>
      <c r="L74" s="53" t="s">
        <v>16</v>
      </c>
    </row>
    <row r="75" spans="1:14" ht="19.5" customHeight="1">
      <c r="B75" s="57">
        <v>43521</v>
      </c>
      <c r="C75" s="53" t="s">
        <v>4</v>
      </c>
      <c r="D75" s="58">
        <v>0</v>
      </c>
      <c r="E75" s="57">
        <f t="shared" si="12"/>
        <v>43521</v>
      </c>
      <c r="F75" s="57">
        <v>43555</v>
      </c>
      <c r="G75" s="53">
        <f t="shared" si="13"/>
        <v>35</v>
      </c>
      <c r="H75" s="53">
        <v>365</v>
      </c>
      <c r="I75" s="52">
        <f t="shared" si="14"/>
        <v>0</v>
      </c>
      <c r="J75" s="71">
        <f t="shared" si="15"/>
        <v>0</v>
      </c>
    </row>
    <row r="76" spans="1:14" ht="19.5" customHeight="1">
      <c r="B76" s="57">
        <v>43549</v>
      </c>
      <c r="C76" s="53" t="s">
        <v>4</v>
      </c>
      <c r="D76" s="58">
        <v>0</v>
      </c>
      <c r="E76" s="57">
        <f t="shared" si="12"/>
        <v>43549</v>
      </c>
      <c r="F76" s="57">
        <v>43555</v>
      </c>
      <c r="G76" s="53">
        <f t="shared" si="13"/>
        <v>7</v>
      </c>
      <c r="H76" s="53">
        <v>365</v>
      </c>
      <c r="I76" s="52">
        <f t="shared" si="14"/>
        <v>0</v>
      </c>
      <c r="J76" s="71">
        <f t="shared" si="15"/>
        <v>0</v>
      </c>
    </row>
    <row r="77" spans="1:14" ht="19.5" customHeight="1">
      <c r="D77" s="58">
        <f>SUM(D64:D76)</f>
        <v>0</v>
      </c>
      <c r="J77" s="71">
        <f>SUM(J64:J76)</f>
        <v>0</v>
      </c>
    </row>
    <row r="78" spans="1:14" ht="19.5" customHeight="1">
      <c r="A78" s="53" t="s">
        <v>31</v>
      </c>
      <c r="B78" s="57">
        <v>43556</v>
      </c>
      <c r="C78" s="53" t="s">
        <v>5</v>
      </c>
      <c r="D78" s="58">
        <f>D62+N61</f>
        <v>0</v>
      </c>
      <c r="E78" s="57">
        <f t="shared" ref="E78:E90" si="16">B78</f>
        <v>43556</v>
      </c>
      <c r="F78" s="57">
        <v>43921</v>
      </c>
      <c r="G78" s="53">
        <f t="shared" ref="G78:G90" si="17">F78-B78+1</f>
        <v>366</v>
      </c>
      <c r="H78" s="65">
        <v>366</v>
      </c>
      <c r="I78" s="52">
        <f t="shared" ref="I78:I90" si="18">ROUNDDOWN(D78/100,0)*100</f>
        <v>0</v>
      </c>
      <c r="J78" s="71">
        <f t="shared" ref="J78:J90" si="19">ROUNDDOWN(I78*G78/H78,0)</f>
        <v>0</v>
      </c>
    </row>
    <row r="79" spans="1:14" ht="19.5" customHeight="1">
      <c r="B79" s="57">
        <v>43580</v>
      </c>
      <c r="C79" s="53" t="s">
        <v>4</v>
      </c>
      <c r="D79" s="58">
        <f>D78+N74</f>
        <v>0</v>
      </c>
      <c r="E79" s="57">
        <f t="shared" si="16"/>
        <v>43580</v>
      </c>
      <c r="F79" s="57">
        <v>43921</v>
      </c>
      <c r="G79" s="53">
        <f t="shared" si="17"/>
        <v>342</v>
      </c>
      <c r="H79" s="65">
        <v>366</v>
      </c>
      <c r="I79" s="52">
        <f t="shared" si="18"/>
        <v>0</v>
      </c>
      <c r="J79" s="71">
        <f t="shared" si="19"/>
        <v>0</v>
      </c>
    </row>
    <row r="80" spans="1:14" ht="19.5" customHeight="1">
      <c r="B80" s="57">
        <v>43610</v>
      </c>
      <c r="C80" s="53" t="s">
        <v>4</v>
      </c>
      <c r="D80" s="58">
        <f>D79+N75</f>
        <v>0</v>
      </c>
      <c r="E80" s="57">
        <f t="shared" si="16"/>
        <v>43610</v>
      </c>
      <c r="F80" s="57">
        <v>43921</v>
      </c>
      <c r="G80" s="53">
        <f t="shared" si="17"/>
        <v>312</v>
      </c>
      <c r="H80" s="65">
        <v>366</v>
      </c>
      <c r="I80" s="52">
        <f t="shared" si="18"/>
        <v>0</v>
      </c>
      <c r="J80" s="71">
        <f t="shared" si="19"/>
        <v>0</v>
      </c>
      <c r="K80" s="98" t="s">
        <v>32</v>
      </c>
      <c r="L80" s="98"/>
      <c r="M80" s="98"/>
      <c r="N80" s="98"/>
    </row>
    <row r="81" spans="1:14" ht="19.5" customHeight="1">
      <c r="B81" s="57">
        <v>43641</v>
      </c>
      <c r="C81" s="53" t="s">
        <v>4</v>
      </c>
      <c r="D81" s="58">
        <f>D80+N80</f>
        <v>0</v>
      </c>
      <c r="E81" s="57">
        <f t="shared" si="16"/>
        <v>43641</v>
      </c>
      <c r="F81" s="57">
        <v>43921</v>
      </c>
      <c r="G81" s="53">
        <f t="shared" si="17"/>
        <v>281</v>
      </c>
      <c r="H81" s="65">
        <v>366</v>
      </c>
      <c r="I81" s="52">
        <f t="shared" si="18"/>
        <v>0</v>
      </c>
      <c r="J81" s="71">
        <f t="shared" si="19"/>
        <v>0</v>
      </c>
    </row>
    <row r="82" spans="1:14" ht="19.5" customHeight="1">
      <c r="B82" s="57">
        <v>43671</v>
      </c>
      <c r="C82" s="53" t="s">
        <v>4</v>
      </c>
      <c r="D82" s="58">
        <f>D81+N77</f>
        <v>0</v>
      </c>
      <c r="E82" s="57">
        <f t="shared" si="16"/>
        <v>43671</v>
      </c>
      <c r="F82" s="57">
        <v>43921</v>
      </c>
      <c r="G82" s="53">
        <f t="shared" si="17"/>
        <v>251</v>
      </c>
      <c r="H82" s="65">
        <v>366</v>
      </c>
      <c r="I82" s="52">
        <f t="shared" si="18"/>
        <v>0</v>
      </c>
      <c r="J82" s="71">
        <f t="shared" si="19"/>
        <v>0</v>
      </c>
    </row>
    <row r="83" spans="1:14" ht="19.5" customHeight="1">
      <c r="B83" s="57">
        <v>43702</v>
      </c>
      <c r="C83" s="53" t="s">
        <v>4</v>
      </c>
      <c r="D83" s="58">
        <f>D82+N78</f>
        <v>0</v>
      </c>
      <c r="E83" s="57">
        <f t="shared" si="16"/>
        <v>43702</v>
      </c>
      <c r="F83" s="57">
        <v>43921</v>
      </c>
      <c r="G83" s="53">
        <f t="shared" si="17"/>
        <v>220</v>
      </c>
      <c r="H83" s="65">
        <v>366</v>
      </c>
      <c r="I83" s="52">
        <f t="shared" si="18"/>
        <v>0</v>
      </c>
      <c r="J83" s="71">
        <f t="shared" si="19"/>
        <v>0</v>
      </c>
    </row>
    <row r="84" spans="1:14" ht="19.5" customHeight="1" thickBot="1">
      <c r="B84" s="57">
        <v>43733</v>
      </c>
      <c r="C84" s="53" t="s">
        <v>4</v>
      </c>
      <c r="D84" s="58">
        <f>D83+N79</f>
        <v>0</v>
      </c>
      <c r="E84" s="57">
        <f t="shared" si="16"/>
        <v>43733</v>
      </c>
      <c r="F84" s="57">
        <v>43921</v>
      </c>
      <c r="G84" s="53">
        <f t="shared" si="17"/>
        <v>189</v>
      </c>
      <c r="H84" s="65">
        <v>366</v>
      </c>
      <c r="I84" s="52">
        <f t="shared" si="18"/>
        <v>0</v>
      </c>
      <c r="J84" s="71">
        <f t="shared" si="19"/>
        <v>0</v>
      </c>
    </row>
    <row r="85" spans="1:14" ht="19.5" customHeight="1" thickBot="1">
      <c r="B85" s="57">
        <v>43763</v>
      </c>
      <c r="C85" s="53" t="s">
        <v>4</v>
      </c>
      <c r="D85" s="58">
        <v>0</v>
      </c>
      <c r="E85" s="57">
        <f t="shared" si="16"/>
        <v>43763</v>
      </c>
      <c r="F85" s="57">
        <v>43921</v>
      </c>
      <c r="G85" s="53">
        <f t="shared" si="17"/>
        <v>159</v>
      </c>
      <c r="H85" s="65">
        <v>366</v>
      </c>
      <c r="I85" s="52">
        <f t="shared" si="18"/>
        <v>0</v>
      </c>
      <c r="J85" s="71">
        <f t="shared" si="19"/>
        <v>0</v>
      </c>
      <c r="K85" s="94" t="s">
        <v>15</v>
      </c>
      <c r="L85" s="95"/>
      <c r="M85" s="95"/>
      <c r="N85" s="96"/>
    </row>
    <row r="86" spans="1:14" ht="19.5" customHeight="1">
      <c r="B86" s="57">
        <v>43794</v>
      </c>
      <c r="C86" s="53" t="s">
        <v>4</v>
      </c>
      <c r="D86" s="58">
        <v>0</v>
      </c>
      <c r="E86" s="57">
        <f t="shared" si="16"/>
        <v>43794</v>
      </c>
      <c r="F86" s="57">
        <v>43921</v>
      </c>
      <c r="G86" s="53">
        <f t="shared" si="17"/>
        <v>128</v>
      </c>
      <c r="H86" s="65">
        <v>366</v>
      </c>
      <c r="I86" s="52">
        <f t="shared" si="18"/>
        <v>0</v>
      </c>
      <c r="J86" s="71">
        <f t="shared" si="19"/>
        <v>0</v>
      </c>
      <c r="K86" s="59" t="s">
        <v>11</v>
      </c>
      <c r="L86" s="60" t="s">
        <v>12</v>
      </c>
      <c r="M86" s="60" t="s">
        <v>13</v>
      </c>
      <c r="N86" s="61" t="s">
        <v>14</v>
      </c>
    </row>
    <row r="87" spans="1:14" ht="19.5" customHeight="1" thickBot="1">
      <c r="B87" s="57">
        <v>43824</v>
      </c>
      <c r="C87" s="53" t="s">
        <v>4</v>
      </c>
      <c r="D87" s="58">
        <v>0</v>
      </c>
      <c r="E87" s="57">
        <f t="shared" si="16"/>
        <v>43824</v>
      </c>
      <c r="F87" s="57">
        <v>43921</v>
      </c>
      <c r="G87" s="53">
        <f t="shared" si="17"/>
        <v>98</v>
      </c>
      <c r="H87" s="65">
        <v>366</v>
      </c>
      <c r="I87" s="52">
        <f t="shared" si="18"/>
        <v>0</v>
      </c>
      <c r="J87" s="71">
        <f t="shared" si="19"/>
        <v>0</v>
      </c>
      <c r="K87" s="62">
        <f>ROUNDDOWN(J91*1.6/100,0)</f>
        <v>0</v>
      </c>
      <c r="L87" s="63">
        <f>ROUNDDOWN(K87*0.15315,0)</f>
        <v>0</v>
      </c>
      <c r="M87" s="56">
        <f>ROUNDDOWN(K87*0.05,0)</f>
        <v>0</v>
      </c>
      <c r="N87" s="64">
        <f>K87-L87-M87</f>
        <v>0</v>
      </c>
    </row>
    <row r="88" spans="1:14" ht="19.5" customHeight="1">
      <c r="B88" s="57">
        <v>43855</v>
      </c>
      <c r="C88" s="53" t="s">
        <v>4</v>
      </c>
      <c r="D88" s="58">
        <v>0</v>
      </c>
      <c r="E88" s="57">
        <f t="shared" si="16"/>
        <v>43855</v>
      </c>
      <c r="F88" s="57">
        <v>43921</v>
      </c>
      <c r="G88" s="53">
        <f t="shared" si="17"/>
        <v>67</v>
      </c>
      <c r="H88" s="65">
        <v>366</v>
      </c>
      <c r="I88" s="52">
        <f t="shared" si="18"/>
        <v>0</v>
      </c>
      <c r="J88" s="71">
        <f t="shared" si="19"/>
        <v>0</v>
      </c>
      <c r="L88" s="53" t="s">
        <v>16</v>
      </c>
    </row>
    <row r="89" spans="1:14" ht="19.5" customHeight="1">
      <c r="B89" s="57">
        <v>43886</v>
      </c>
      <c r="C89" s="53" t="s">
        <v>4</v>
      </c>
      <c r="D89" s="58">
        <v>0</v>
      </c>
      <c r="E89" s="57">
        <f t="shared" si="16"/>
        <v>43886</v>
      </c>
      <c r="F89" s="57">
        <v>43921</v>
      </c>
      <c r="G89" s="65">
        <f t="shared" si="17"/>
        <v>36</v>
      </c>
      <c r="H89" s="65">
        <v>366</v>
      </c>
      <c r="I89" s="52">
        <f t="shared" si="18"/>
        <v>0</v>
      </c>
      <c r="J89" s="71">
        <f t="shared" si="19"/>
        <v>0</v>
      </c>
    </row>
    <row r="90" spans="1:14" ht="19.5" customHeight="1">
      <c r="B90" s="57">
        <v>43915</v>
      </c>
      <c r="C90" s="53" t="s">
        <v>4</v>
      </c>
      <c r="D90" s="58">
        <v>0</v>
      </c>
      <c r="E90" s="57">
        <f t="shared" si="16"/>
        <v>43915</v>
      </c>
      <c r="F90" s="57">
        <v>43921</v>
      </c>
      <c r="G90" s="53">
        <f t="shared" si="17"/>
        <v>7</v>
      </c>
      <c r="H90" s="65">
        <v>366</v>
      </c>
      <c r="I90" s="52">
        <f t="shared" si="18"/>
        <v>0</v>
      </c>
      <c r="J90" s="71">
        <f t="shared" si="19"/>
        <v>0</v>
      </c>
    </row>
    <row r="91" spans="1:14" ht="19.5" customHeight="1">
      <c r="D91" s="58">
        <f>SUM(D78:D90)</f>
        <v>0</v>
      </c>
      <c r="J91" s="71">
        <f>SUM(J78:J90)</f>
        <v>0</v>
      </c>
    </row>
    <row r="92" spans="1:14" ht="19.5" customHeight="1">
      <c r="A92" s="53" t="s">
        <v>33</v>
      </c>
      <c r="B92" s="57">
        <v>43922</v>
      </c>
      <c r="C92" s="53" t="s">
        <v>5</v>
      </c>
      <c r="D92" s="58">
        <f>D91+N87</f>
        <v>0</v>
      </c>
      <c r="E92" s="57">
        <f t="shared" ref="E92:E104" si="20">B92</f>
        <v>43922</v>
      </c>
      <c r="F92" s="57">
        <v>44286</v>
      </c>
      <c r="G92" s="53">
        <f t="shared" ref="G92:G104" si="21">F92-B92+1</f>
        <v>365</v>
      </c>
      <c r="H92" s="53">
        <v>365</v>
      </c>
      <c r="I92" s="52">
        <f t="shared" ref="I92:I104" si="22">ROUNDDOWN(D92/100,0)*100</f>
        <v>0</v>
      </c>
      <c r="J92" s="71">
        <f t="shared" ref="J92:J104" si="23">ROUNDDOWN(I92*G92/H92,0)</f>
        <v>0</v>
      </c>
    </row>
    <row r="93" spans="1:14" ht="19.5" customHeight="1">
      <c r="B93" s="57">
        <v>43946</v>
      </c>
      <c r="C93" s="53" t="s">
        <v>4</v>
      </c>
      <c r="D93" s="58">
        <v>0</v>
      </c>
      <c r="E93" s="57">
        <f t="shared" si="20"/>
        <v>43946</v>
      </c>
      <c r="F93" s="57">
        <v>44286</v>
      </c>
      <c r="G93" s="53">
        <f t="shared" si="21"/>
        <v>341</v>
      </c>
      <c r="H93" s="53">
        <v>365</v>
      </c>
      <c r="I93" s="52">
        <f t="shared" si="22"/>
        <v>0</v>
      </c>
      <c r="J93" s="71">
        <f t="shared" si="23"/>
        <v>0</v>
      </c>
    </row>
    <row r="94" spans="1:14" ht="19.5" customHeight="1">
      <c r="B94" s="57">
        <v>43976</v>
      </c>
      <c r="C94" s="53" t="s">
        <v>4</v>
      </c>
      <c r="D94" s="58">
        <v>0</v>
      </c>
      <c r="E94" s="57">
        <f t="shared" si="20"/>
        <v>43976</v>
      </c>
      <c r="F94" s="57">
        <v>44286</v>
      </c>
      <c r="G94" s="53">
        <f t="shared" si="21"/>
        <v>311</v>
      </c>
      <c r="H94" s="53">
        <v>365</v>
      </c>
      <c r="I94" s="52">
        <f t="shared" si="22"/>
        <v>0</v>
      </c>
      <c r="J94" s="71">
        <f t="shared" si="23"/>
        <v>0</v>
      </c>
    </row>
    <row r="95" spans="1:14" ht="19.5" customHeight="1">
      <c r="B95" s="57">
        <v>44007</v>
      </c>
      <c r="C95" s="53" t="s">
        <v>4</v>
      </c>
      <c r="D95" s="58">
        <v>0</v>
      </c>
      <c r="E95" s="57">
        <f t="shared" si="20"/>
        <v>44007</v>
      </c>
      <c r="F95" s="57">
        <v>44286</v>
      </c>
      <c r="G95" s="53">
        <f t="shared" si="21"/>
        <v>280</v>
      </c>
      <c r="H95" s="53">
        <v>365</v>
      </c>
      <c r="I95" s="52">
        <f t="shared" si="22"/>
        <v>0</v>
      </c>
      <c r="J95" s="71">
        <f t="shared" si="23"/>
        <v>0</v>
      </c>
    </row>
    <row r="96" spans="1:14" ht="19.5" customHeight="1">
      <c r="B96" s="57">
        <v>44037</v>
      </c>
      <c r="C96" s="53" t="s">
        <v>4</v>
      </c>
      <c r="D96" s="58"/>
      <c r="E96" s="57">
        <f t="shared" si="20"/>
        <v>44037</v>
      </c>
      <c r="F96" s="57">
        <v>44286</v>
      </c>
      <c r="G96" s="53">
        <f t="shared" si="21"/>
        <v>250</v>
      </c>
      <c r="H96" s="53">
        <v>365</v>
      </c>
      <c r="I96" s="52">
        <f t="shared" si="22"/>
        <v>0</v>
      </c>
      <c r="J96" s="71">
        <f t="shared" si="23"/>
        <v>0</v>
      </c>
    </row>
    <row r="97" spans="1:14" ht="19.5" customHeight="1">
      <c r="B97" s="57">
        <v>44068</v>
      </c>
      <c r="C97" s="53" t="s">
        <v>4</v>
      </c>
      <c r="D97" s="58"/>
      <c r="E97" s="57">
        <f t="shared" si="20"/>
        <v>44068</v>
      </c>
      <c r="F97" s="57">
        <v>44286</v>
      </c>
      <c r="G97" s="53">
        <f t="shared" si="21"/>
        <v>219</v>
      </c>
      <c r="H97" s="53">
        <v>365</v>
      </c>
      <c r="I97" s="52">
        <f t="shared" si="22"/>
        <v>0</v>
      </c>
      <c r="J97" s="71">
        <f t="shared" si="23"/>
        <v>0</v>
      </c>
    </row>
    <row r="98" spans="1:14" ht="19.5" customHeight="1" thickBot="1">
      <c r="B98" s="57">
        <v>44099</v>
      </c>
      <c r="C98" s="53" t="s">
        <v>4</v>
      </c>
      <c r="D98" s="58">
        <v>0</v>
      </c>
      <c r="E98" s="57">
        <f t="shared" si="20"/>
        <v>44099</v>
      </c>
      <c r="F98" s="57">
        <v>44286</v>
      </c>
      <c r="G98" s="53">
        <f t="shared" si="21"/>
        <v>188</v>
      </c>
      <c r="H98" s="53">
        <v>365</v>
      </c>
      <c r="I98" s="52">
        <f t="shared" si="22"/>
        <v>0</v>
      </c>
      <c r="J98" s="71">
        <f t="shared" si="23"/>
        <v>0</v>
      </c>
    </row>
    <row r="99" spans="1:14" ht="19.5" customHeight="1" thickBot="1">
      <c r="B99" s="57">
        <v>44129</v>
      </c>
      <c r="C99" s="53" t="s">
        <v>4</v>
      </c>
      <c r="D99" s="58">
        <v>0</v>
      </c>
      <c r="E99" s="57">
        <f t="shared" si="20"/>
        <v>44129</v>
      </c>
      <c r="F99" s="57">
        <v>44286</v>
      </c>
      <c r="G99" s="53">
        <f t="shared" si="21"/>
        <v>158</v>
      </c>
      <c r="H99" s="53">
        <v>365</v>
      </c>
      <c r="I99" s="52">
        <f t="shared" si="22"/>
        <v>0</v>
      </c>
      <c r="J99" s="71">
        <f t="shared" si="23"/>
        <v>0</v>
      </c>
      <c r="K99" s="94" t="s">
        <v>15</v>
      </c>
      <c r="L99" s="95"/>
      <c r="M99" s="95"/>
      <c r="N99" s="96"/>
    </row>
    <row r="100" spans="1:14" ht="19.5" customHeight="1">
      <c r="B100" s="57">
        <v>44160</v>
      </c>
      <c r="C100" s="53" t="s">
        <v>4</v>
      </c>
      <c r="D100" s="58">
        <v>0</v>
      </c>
      <c r="E100" s="57">
        <f t="shared" si="20"/>
        <v>44160</v>
      </c>
      <c r="F100" s="57">
        <v>44286</v>
      </c>
      <c r="G100" s="53">
        <f t="shared" si="21"/>
        <v>127</v>
      </c>
      <c r="H100" s="53">
        <v>365</v>
      </c>
      <c r="I100" s="52">
        <f t="shared" si="22"/>
        <v>0</v>
      </c>
      <c r="J100" s="71">
        <f t="shared" si="23"/>
        <v>0</v>
      </c>
      <c r="K100" s="59" t="s">
        <v>11</v>
      </c>
      <c r="L100" s="60" t="s">
        <v>12</v>
      </c>
      <c r="M100" s="60" t="s">
        <v>13</v>
      </c>
      <c r="N100" s="61" t="s">
        <v>14</v>
      </c>
    </row>
    <row r="101" spans="1:14" ht="19.5" customHeight="1" thickBot="1">
      <c r="B101" s="57">
        <v>44190</v>
      </c>
      <c r="C101" s="53" t="s">
        <v>4</v>
      </c>
      <c r="D101" s="58">
        <v>0</v>
      </c>
      <c r="E101" s="57">
        <f t="shared" si="20"/>
        <v>44190</v>
      </c>
      <c r="F101" s="57">
        <v>44286</v>
      </c>
      <c r="G101" s="53">
        <f t="shared" si="21"/>
        <v>97</v>
      </c>
      <c r="H101" s="53">
        <v>365</v>
      </c>
      <c r="I101" s="52">
        <f t="shared" si="22"/>
        <v>0</v>
      </c>
      <c r="J101" s="71">
        <f t="shared" si="23"/>
        <v>0</v>
      </c>
      <c r="K101" s="62">
        <f>ROUNDDOWN(J105*1.6/100,0)</f>
        <v>0</v>
      </c>
      <c r="L101" s="63">
        <f>ROUNDDOWN(K101*0.15315,0)</f>
        <v>0</v>
      </c>
      <c r="M101" s="56">
        <f>ROUNDDOWN(K101*0.05,0)</f>
        <v>0</v>
      </c>
      <c r="N101" s="64">
        <f>K101-L101-M101</f>
        <v>0</v>
      </c>
    </row>
    <row r="102" spans="1:14" ht="19.5" customHeight="1">
      <c r="B102" s="57">
        <v>44221</v>
      </c>
      <c r="C102" s="53" t="s">
        <v>4</v>
      </c>
      <c r="D102" s="58">
        <v>0</v>
      </c>
      <c r="E102" s="57">
        <f t="shared" si="20"/>
        <v>44221</v>
      </c>
      <c r="F102" s="57">
        <v>44286</v>
      </c>
      <c r="G102" s="53">
        <f t="shared" si="21"/>
        <v>66</v>
      </c>
      <c r="H102" s="53">
        <v>365</v>
      </c>
      <c r="I102" s="52">
        <f t="shared" si="22"/>
        <v>0</v>
      </c>
      <c r="J102" s="71">
        <f t="shared" si="23"/>
        <v>0</v>
      </c>
      <c r="L102" s="53" t="s">
        <v>16</v>
      </c>
    </row>
    <row r="103" spans="1:14" ht="19.5" customHeight="1">
      <c r="B103" s="57">
        <v>44252</v>
      </c>
      <c r="C103" s="53" t="s">
        <v>4</v>
      </c>
      <c r="D103" s="58">
        <v>0</v>
      </c>
      <c r="E103" s="57">
        <f t="shared" si="20"/>
        <v>44252</v>
      </c>
      <c r="F103" s="57">
        <v>44286</v>
      </c>
      <c r="G103" s="53">
        <f t="shared" si="21"/>
        <v>35</v>
      </c>
      <c r="H103" s="53">
        <v>365</v>
      </c>
      <c r="I103" s="52">
        <f t="shared" si="22"/>
        <v>0</v>
      </c>
      <c r="J103" s="71">
        <f t="shared" si="23"/>
        <v>0</v>
      </c>
    </row>
    <row r="104" spans="1:14" ht="19.5" customHeight="1">
      <c r="B104" s="57">
        <v>44280</v>
      </c>
      <c r="C104" s="53" t="s">
        <v>4</v>
      </c>
      <c r="D104" s="58">
        <v>0</v>
      </c>
      <c r="E104" s="57">
        <f t="shared" si="20"/>
        <v>44280</v>
      </c>
      <c r="F104" s="57">
        <v>44286</v>
      </c>
      <c r="G104" s="53">
        <f t="shared" si="21"/>
        <v>7</v>
      </c>
      <c r="H104" s="53">
        <v>365</v>
      </c>
      <c r="I104" s="52">
        <f t="shared" si="22"/>
        <v>0</v>
      </c>
      <c r="J104" s="71">
        <f t="shared" si="23"/>
        <v>0</v>
      </c>
    </row>
    <row r="105" spans="1:14" ht="19.5" customHeight="1">
      <c r="D105" s="58">
        <f>SUM(D92:D104)</f>
        <v>0</v>
      </c>
      <c r="J105" s="71">
        <f>SUM(J92:J104)</f>
        <v>0</v>
      </c>
    </row>
    <row r="106" spans="1:14" ht="19.5" customHeight="1">
      <c r="A106" s="53" t="s">
        <v>34</v>
      </c>
      <c r="B106" s="57">
        <v>44287</v>
      </c>
      <c r="C106" s="53" t="s">
        <v>5</v>
      </c>
      <c r="D106" s="66">
        <f>D105+N101</f>
        <v>0</v>
      </c>
      <c r="E106" s="57">
        <f t="shared" ref="E106:E118" si="24">B106</f>
        <v>44287</v>
      </c>
      <c r="F106" s="57">
        <v>44651</v>
      </c>
      <c r="G106" s="53">
        <f t="shared" ref="G106:G118" si="25">F106-B106+1</f>
        <v>365</v>
      </c>
      <c r="H106" s="53">
        <v>365</v>
      </c>
      <c r="I106" s="52">
        <f t="shared" ref="I106:I118" si="26">ROUNDDOWN(D106/100,0)*100</f>
        <v>0</v>
      </c>
      <c r="J106" s="71">
        <f t="shared" ref="J106:J118" si="27">ROUNDDOWN(I106*G106/H106,0)</f>
        <v>0</v>
      </c>
    </row>
    <row r="107" spans="1:14" ht="19.5" customHeight="1">
      <c r="B107" s="57">
        <v>44311</v>
      </c>
      <c r="C107" s="53" t="s">
        <v>4</v>
      </c>
      <c r="D107" s="58">
        <v>0</v>
      </c>
      <c r="E107" s="57">
        <f t="shared" si="24"/>
        <v>44311</v>
      </c>
      <c r="F107" s="57">
        <v>44651</v>
      </c>
      <c r="G107" s="53">
        <f t="shared" si="25"/>
        <v>341</v>
      </c>
      <c r="H107" s="53">
        <v>365</v>
      </c>
      <c r="I107" s="52">
        <f t="shared" si="26"/>
        <v>0</v>
      </c>
      <c r="J107" s="71">
        <f t="shared" si="27"/>
        <v>0</v>
      </c>
    </row>
    <row r="108" spans="1:14" ht="19.5" customHeight="1">
      <c r="B108" s="57">
        <v>44341</v>
      </c>
      <c r="C108" s="53" t="s">
        <v>4</v>
      </c>
      <c r="D108" s="58">
        <v>0</v>
      </c>
      <c r="E108" s="57">
        <f t="shared" si="24"/>
        <v>44341</v>
      </c>
      <c r="F108" s="57">
        <v>44651</v>
      </c>
      <c r="G108" s="53">
        <f t="shared" si="25"/>
        <v>311</v>
      </c>
      <c r="H108" s="53">
        <v>365</v>
      </c>
      <c r="I108" s="52">
        <f t="shared" si="26"/>
        <v>0</v>
      </c>
      <c r="J108" s="71">
        <f t="shared" si="27"/>
        <v>0</v>
      </c>
    </row>
    <row r="109" spans="1:14" ht="19.5" customHeight="1">
      <c r="B109" s="57">
        <v>44372</v>
      </c>
      <c r="C109" s="53" t="s">
        <v>4</v>
      </c>
      <c r="D109" s="58">
        <v>0</v>
      </c>
      <c r="E109" s="57">
        <f t="shared" si="24"/>
        <v>44372</v>
      </c>
      <c r="F109" s="57">
        <v>44651</v>
      </c>
      <c r="G109" s="53">
        <f t="shared" si="25"/>
        <v>280</v>
      </c>
      <c r="H109" s="53">
        <v>365</v>
      </c>
      <c r="I109" s="52">
        <f t="shared" si="26"/>
        <v>0</v>
      </c>
      <c r="J109" s="71">
        <f t="shared" si="27"/>
        <v>0</v>
      </c>
    </row>
    <row r="110" spans="1:14" ht="19.5" customHeight="1">
      <c r="B110" s="57">
        <v>44402</v>
      </c>
      <c r="C110" s="53" t="s">
        <v>4</v>
      </c>
      <c r="D110" s="58">
        <v>0</v>
      </c>
      <c r="E110" s="57">
        <f t="shared" si="24"/>
        <v>44402</v>
      </c>
      <c r="F110" s="57">
        <v>44651</v>
      </c>
      <c r="G110" s="53">
        <f t="shared" si="25"/>
        <v>250</v>
      </c>
      <c r="H110" s="53">
        <v>365</v>
      </c>
      <c r="I110" s="52">
        <f t="shared" si="26"/>
        <v>0</v>
      </c>
      <c r="J110" s="71">
        <f t="shared" si="27"/>
        <v>0</v>
      </c>
    </row>
    <row r="111" spans="1:14" ht="19.5" customHeight="1">
      <c r="B111" s="57">
        <v>44433</v>
      </c>
      <c r="C111" s="53" t="s">
        <v>4</v>
      </c>
      <c r="D111" s="58">
        <v>0</v>
      </c>
      <c r="E111" s="57">
        <f t="shared" si="24"/>
        <v>44433</v>
      </c>
      <c r="F111" s="57">
        <v>44651</v>
      </c>
      <c r="G111" s="53">
        <f t="shared" si="25"/>
        <v>219</v>
      </c>
      <c r="H111" s="53">
        <v>365</v>
      </c>
      <c r="I111" s="52">
        <f t="shared" si="26"/>
        <v>0</v>
      </c>
      <c r="J111" s="71">
        <f t="shared" si="27"/>
        <v>0</v>
      </c>
    </row>
    <row r="112" spans="1:14" ht="19.5" customHeight="1" thickBot="1">
      <c r="B112" s="57">
        <v>44464</v>
      </c>
      <c r="C112" s="53" t="s">
        <v>4</v>
      </c>
      <c r="D112" s="58">
        <v>0</v>
      </c>
      <c r="E112" s="57">
        <f t="shared" si="24"/>
        <v>44464</v>
      </c>
      <c r="F112" s="57">
        <v>44651</v>
      </c>
      <c r="G112" s="53">
        <f t="shared" si="25"/>
        <v>188</v>
      </c>
      <c r="H112" s="53">
        <v>365</v>
      </c>
      <c r="I112" s="52">
        <f t="shared" si="26"/>
        <v>0</v>
      </c>
      <c r="J112" s="71">
        <f t="shared" si="27"/>
        <v>0</v>
      </c>
    </row>
    <row r="113" spans="1:14" ht="19.5" customHeight="1" thickBot="1">
      <c r="B113" s="57">
        <v>44494</v>
      </c>
      <c r="C113" s="53" t="s">
        <v>4</v>
      </c>
      <c r="D113" s="58">
        <v>0</v>
      </c>
      <c r="E113" s="57">
        <f t="shared" si="24"/>
        <v>44494</v>
      </c>
      <c r="F113" s="57">
        <v>44651</v>
      </c>
      <c r="G113" s="53">
        <f t="shared" si="25"/>
        <v>158</v>
      </c>
      <c r="H113" s="53">
        <v>365</v>
      </c>
      <c r="I113" s="52">
        <f t="shared" si="26"/>
        <v>0</v>
      </c>
      <c r="J113" s="71">
        <f t="shared" si="27"/>
        <v>0</v>
      </c>
      <c r="K113" s="94" t="s">
        <v>15</v>
      </c>
      <c r="L113" s="95"/>
      <c r="M113" s="95"/>
      <c r="N113" s="96"/>
    </row>
    <row r="114" spans="1:14" ht="19.5" customHeight="1">
      <c r="B114" s="57">
        <v>44525</v>
      </c>
      <c r="C114" s="53" t="s">
        <v>4</v>
      </c>
      <c r="D114" s="58">
        <v>0</v>
      </c>
      <c r="E114" s="57">
        <f t="shared" si="24"/>
        <v>44525</v>
      </c>
      <c r="F114" s="57">
        <v>44651</v>
      </c>
      <c r="G114" s="53">
        <f t="shared" si="25"/>
        <v>127</v>
      </c>
      <c r="H114" s="53">
        <v>365</v>
      </c>
      <c r="I114" s="52">
        <f t="shared" si="26"/>
        <v>0</v>
      </c>
      <c r="J114" s="71">
        <f t="shared" si="27"/>
        <v>0</v>
      </c>
      <c r="K114" s="59" t="s">
        <v>11</v>
      </c>
      <c r="L114" s="60" t="s">
        <v>12</v>
      </c>
      <c r="M114" s="60" t="s">
        <v>13</v>
      </c>
      <c r="N114" s="61" t="s">
        <v>14</v>
      </c>
    </row>
    <row r="115" spans="1:14" ht="19.5" customHeight="1" thickBot="1">
      <c r="B115" s="57">
        <v>44555</v>
      </c>
      <c r="C115" s="53" t="s">
        <v>4</v>
      </c>
      <c r="D115" s="58">
        <v>0</v>
      </c>
      <c r="E115" s="57">
        <f t="shared" si="24"/>
        <v>44555</v>
      </c>
      <c r="F115" s="57">
        <v>44651</v>
      </c>
      <c r="G115" s="53">
        <f t="shared" si="25"/>
        <v>97</v>
      </c>
      <c r="H115" s="53">
        <v>365</v>
      </c>
      <c r="I115" s="52">
        <f t="shared" si="26"/>
        <v>0</v>
      </c>
      <c r="J115" s="71">
        <f t="shared" si="27"/>
        <v>0</v>
      </c>
      <c r="K115" s="62">
        <f>ROUNDDOWN(J119*1.6/100,0)</f>
        <v>0</v>
      </c>
      <c r="L115" s="63">
        <f>ROUNDDOWN(K115*0.15315,0)</f>
        <v>0</v>
      </c>
      <c r="M115" s="56">
        <f>ROUNDDOWN(K115*0.05,0)</f>
        <v>0</v>
      </c>
      <c r="N115" s="64">
        <f>K115-L115-M115</f>
        <v>0</v>
      </c>
    </row>
    <row r="116" spans="1:14" ht="19.5" customHeight="1">
      <c r="B116" s="57">
        <v>44586</v>
      </c>
      <c r="C116" s="53" t="s">
        <v>4</v>
      </c>
      <c r="D116" s="58">
        <v>0</v>
      </c>
      <c r="E116" s="57">
        <f t="shared" si="24"/>
        <v>44586</v>
      </c>
      <c r="F116" s="57">
        <v>44651</v>
      </c>
      <c r="G116" s="53">
        <f t="shared" si="25"/>
        <v>66</v>
      </c>
      <c r="H116" s="53">
        <v>365</v>
      </c>
      <c r="I116" s="52">
        <f t="shared" si="26"/>
        <v>0</v>
      </c>
      <c r="J116" s="71">
        <f t="shared" si="27"/>
        <v>0</v>
      </c>
      <c r="L116" s="53" t="s">
        <v>16</v>
      </c>
    </row>
    <row r="117" spans="1:14" ht="19.5" customHeight="1">
      <c r="B117" s="57">
        <v>44617</v>
      </c>
      <c r="C117" s="53" t="s">
        <v>4</v>
      </c>
      <c r="D117" s="58">
        <v>0</v>
      </c>
      <c r="E117" s="57">
        <f t="shared" si="24"/>
        <v>44617</v>
      </c>
      <c r="F117" s="57">
        <v>44651</v>
      </c>
      <c r="G117" s="53">
        <f t="shared" si="25"/>
        <v>35</v>
      </c>
      <c r="H117" s="53">
        <v>365</v>
      </c>
      <c r="I117" s="52">
        <f t="shared" si="26"/>
        <v>0</v>
      </c>
      <c r="J117" s="71">
        <f t="shared" si="27"/>
        <v>0</v>
      </c>
    </row>
    <row r="118" spans="1:14" ht="19.5" customHeight="1">
      <c r="B118" s="57">
        <v>44645</v>
      </c>
      <c r="C118" s="53" t="s">
        <v>4</v>
      </c>
      <c r="D118" s="58">
        <v>0</v>
      </c>
      <c r="E118" s="57">
        <f t="shared" si="24"/>
        <v>44645</v>
      </c>
      <c r="F118" s="57">
        <v>44651</v>
      </c>
      <c r="G118" s="53">
        <f t="shared" si="25"/>
        <v>7</v>
      </c>
      <c r="H118" s="53">
        <v>365</v>
      </c>
      <c r="I118" s="52">
        <f t="shared" si="26"/>
        <v>0</v>
      </c>
      <c r="J118" s="71">
        <f t="shared" si="27"/>
        <v>0</v>
      </c>
    </row>
    <row r="119" spans="1:14" ht="19.5" customHeight="1">
      <c r="D119" s="58">
        <f>SUM(D106:D118)</f>
        <v>0</v>
      </c>
      <c r="J119" s="71">
        <f>SUM(J106:J118)</f>
        <v>0</v>
      </c>
    </row>
    <row r="120" spans="1:14" ht="19.5" customHeight="1">
      <c r="A120" s="53" t="s">
        <v>35</v>
      </c>
      <c r="B120" s="57">
        <v>44652</v>
      </c>
      <c r="C120" s="53" t="s">
        <v>5</v>
      </c>
      <c r="D120" s="66">
        <f>D119+N115</f>
        <v>0</v>
      </c>
      <c r="E120" s="57">
        <f t="shared" ref="E120:E132" si="28">B120</f>
        <v>44652</v>
      </c>
      <c r="F120" s="57">
        <v>45016</v>
      </c>
      <c r="G120" s="53">
        <f t="shared" ref="G120:G132" si="29">F120-B120+1</f>
        <v>365</v>
      </c>
      <c r="H120" s="53">
        <v>365</v>
      </c>
      <c r="I120" s="52">
        <f t="shared" ref="I120:I132" si="30">ROUNDDOWN(D120/100,0)*100</f>
        <v>0</v>
      </c>
      <c r="J120" s="74">
        <f t="shared" ref="J120:J132" si="31">ROUNDDOWN(I120*G120/H120,0)</f>
        <v>0</v>
      </c>
    </row>
    <row r="121" spans="1:14" ht="19.5" customHeight="1">
      <c r="B121" s="57">
        <v>44676</v>
      </c>
      <c r="C121" s="53" t="s">
        <v>4</v>
      </c>
      <c r="D121" s="58">
        <v>0</v>
      </c>
      <c r="E121" s="57">
        <f t="shared" si="28"/>
        <v>44676</v>
      </c>
      <c r="F121" s="57">
        <v>45016</v>
      </c>
      <c r="G121" s="53">
        <f t="shared" si="29"/>
        <v>341</v>
      </c>
      <c r="H121" s="53">
        <v>365</v>
      </c>
      <c r="I121" s="52">
        <f t="shared" si="30"/>
        <v>0</v>
      </c>
      <c r="J121" s="74">
        <f t="shared" si="31"/>
        <v>0</v>
      </c>
    </row>
    <row r="122" spans="1:14" ht="19.5" customHeight="1">
      <c r="B122" s="57">
        <v>44706</v>
      </c>
      <c r="C122" s="53" t="s">
        <v>4</v>
      </c>
      <c r="D122" s="58">
        <v>0</v>
      </c>
      <c r="E122" s="57">
        <f t="shared" si="28"/>
        <v>44706</v>
      </c>
      <c r="F122" s="57">
        <v>45016</v>
      </c>
      <c r="G122" s="53">
        <f t="shared" si="29"/>
        <v>311</v>
      </c>
      <c r="H122" s="53">
        <v>365</v>
      </c>
      <c r="I122" s="52">
        <f t="shared" si="30"/>
        <v>0</v>
      </c>
      <c r="J122" s="74">
        <f t="shared" si="31"/>
        <v>0</v>
      </c>
    </row>
    <row r="123" spans="1:14" ht="19.5" customHeight="1">
      <c r="B123" s="57">
        <v>44737</v>
      </c>
      <c r="C123" s="53" t="s">
        <v>4</v>
      </c>
      <c r="D123" s="58">
        <v>0</v>
      </c>
      <c r="E123" s="57">
        <f t="shared" si="28"/>
        <v>44737</v>
      </c>
      <c r="F123" s="57">
        <v>45016</v>
      </c>
      <c r="G123" s="53">
        <f t="shared" si="29"/>
        <v>280</v>
      </c>
      <c r="H123" s="53">
        <v>365</v>
      </c>
      <c r="I123" s="52">
        <f t="shared" si="30"/>
        <v>0</v>
      </c>
      <c r="J123" s="74">
        <f t="shared" si="31"/>
        <v>0</v>
      </c>
    </row>
    <row r="124" spans="1:14" ht="19.5" customHeight="1">
      <c r="B124" s="57">
        <v>44767</v>
      </c>
      <c r="C124" s="53" t="s">
        <v>4</v>
      </c>
      <c r="D124" s="58">
        <v>0</v>
      </c>
      <c r="E124" s="57">
        <f t="shared" si="28"/>
        <v>44767</v>
      </c>
      <c r="F124" s="57">
        <v>45016</v>
      </c>
      <c r="G124" s="53">
        <f t="shared" si="29"/>
        <v>250</v>
      </c>
      <c r="H124" s="53">
        <v>365</v>
      </c>
      <c r="I124" s="52">
        <f t="shared" si="30"/>
        <v>0</v>
      </c>
      <c r="J124" s="74">
        <f t="shared" si="31"/>
        <v>0</v>
      </c>
    </row>
    <row r="125" spans="1:14" ht="19.5" customHeight="1">
      <c r="B125" s="57">
        <v>44798</v>
      </c>
      <c r="C125" s="53" t="s">
        <v>4</v>
      </c>
      <c r="D125" s="58">
        <v>0</v>
      </c>
      <c r="E125" s="57">
        <f t="shared" si="28"/>
        <v>44798</v>
      </c>
      <c r="F125" s="57">
        <v>45016</v>
      </c>
      <c r="G125" s="53">
        <f t="shared" si="29"/>
        <v>219</v>
      </c>
      <c r="H125" s="53">
        <v>365</v>
      </c>
      <c r="I125" s="52">
        <f t="shared" si="30"/>
        <v>0</v>
      </c>
      <c r="J125" s="74">
        <f t="shared" si="31"/>
        <v>0</v>
      </c>
    </row>
    <row r="126" spans="1:14" ht="19.5" customHeight="1" thickBot="1">
      <c r="B126" s="57">
        <v>44829</v>
      </c>
      <c r="C126" s="53" t="s">
        <v>4</v>
      </c>
      <c r="D126" s="58">
        <v>0</v>
      </c>
      <c r="E126" s="57">
        <f t="shared" si="28"/>
        <v>44829</v>
      </c>
      <c r="F126" s="57">
        <v>45016</v>
      </c>
      <c r="G126" s="53">
        <f t="shared" si="29"/>
        <v>188</v>
      </c>
      <c r="H126" s="53">
        <v>365</v>
      </c>
      <c r="I126" s="52">
        <f t="shared" si="30"/>
        <v>0</v>
      </c>
      <c r="J126" s="74">
        <f t="shared" si="31"/>
        <v>0</v>
      </c>
    </row>
    <row r="127" spans="1:14" ht="19.5" customHeight="1" thickBot="1">
      <c r="B127" s="57">
        <v>44859</v>
      </c>
      <c r="C127" s="53" t="s">
        <v>4</v>
      </c>
      <c r="D127" s="58">
        <v>0</v>
      </c>
      <c r="E127" s="57">
        <f t="shared" si="28"/>
        <v>44859</v>
      </c>
      <c r="F127" s="57">
        <v>45016</v>
      </c>
      <c r="G127" s="53">
        <f t="shared" si="29"/>
        <v>158</v>
      </c>
      <c r="H127" s="53">
        <v>365</v>
      </c>
      <c r="I127" s="52">
        <f t="shared" si="30"/>
        <v>0</v>
      </c>
      <c r="J127" s="74">
        <f t="shared" si="31"/>
        <v>0</v>
      </c>
      <c r="K127" s="94" t="s">
        <v>15</v>
      </c>
      <c r="L127" s="95"/>
      <c r="M127" s="95"/>
      <c r="N127" s="96"/>
    </row>
    <row r="128" spans="1:14" ht="19.5" customHeight="1">
      <c r="B128" s="57">
        <v>44890</v>
      </c>
      <c r="C128" s="53" t="s">
        <v>4</v>
      </c>
      <c r="D128" s="58">
        <v>0</v>
      </c>
      <c r="E128" s="57">
        <f t="shared" si="28"/>
        <v>44890</v>
      </c>
      <c r="F128" s="57">
        <v>45016</v>
      </c>
      <c r="G128" s="53">
        <f t="shared" si="29"/>
        <v>127</v>
      </c>
      <c r="H128" s="53">
        <v>365</v>
      </c>
      <c r="I128" s="52">
        <f t="shared" si="30"/>
        <v>0</v>
      </c>
      <c r="J128" s="74">
        <f t="shared" si="31"/>
        <v>0</v>
      </c>
      <c r="K128" s="59" t="s">
        <v>11</v>
      </c>
      <c r="L128" s="60" t="s">
        <v>12</v>
      </c>
      <c r="M128" s="60" t="s">
        <v>13</v>
      </c>
      <c r="N128" s="61" t="s">
        <v>14</v>
      </c>
    </row>
    <row r="129" spans="2:14" ht="19.5" customHeight="1" thickBot="1">
      <c r="B129" s="57">
        <v>44920</v>
      </c>
      <c r="C129" s="53" t="s">
        <v>4</v>
      </c>
      <c r="D129" s="58">
        <v>0</v>
      </c>
      <c r="E129" s="57">
        <f t="shared" si="28"/>
        <v>44920</v>
      </c>
      <c r="F129" s="57">
        <v>45016</v>
      </c>
      <c r="G129" s="53">
        <f t="shared" si="29"/>
        <v>97</v>
      </c>
      <c r="H129" s="53">
        <v>365</v>
      </c>
      <c r="I129" s="52">
        <f t="shared" si="30"/>
        <v>0</v>
      </c>
      <c r="J129" s="74">
        <f t="shared" si="31"/>
        <v>0</v>
      </c>
      <c r="K129" s="62">
        <f>ROUNDDOWN(J133*1.6/100,0)</f>
        <v>0</v>
      </c>
      <c r="L129" s="63">
        <f>ROUNDDOWN(K129*0.15315,0)</f>
        <v>0</v>
      </c>
      <c r="M129" s="56">
        <f>ROUNDDOWN(K129*0.05,0)</f>
        <v>0</v>
      </c>
      <c r="N129" s="64">
        <f>K129-L129-M129</f>
        <v>0</v>
      </c>
    </row>
    <row r="130" spans="2:14" ht="19.5" customHeight="1">
      <c r="B130" s="57">
        <v>44951</v>
      </c>
      <c r="C130" s="53" t="s">
        <v>4</v>
      </c>
      <c r="D130" s="58">
        <v>0</v>
      </c>
      <c r="E130" s="57">
        <f t="shared" si="28"/>
        <v>44951</v>
      </c>
      <c r="F130" s="57">
        <v>45016</v>
      </c>
      <c r="G130" s="53">
        <f t="shared" si="29"/>
        <v>66</v>
      </c>
      <c r="H130" s="53">
        <v>365</v>
      </c>
      <c r="I130" s="52">
        <f t="shared" si="30"/>
        <v>0</v>
      </c>
      <c r="J130" s="74">
        <f t="shared" si="31"/>
        <v>0</v>
      </c>
      <c r="L130" s="53" t="s">
        <v>16</v>
      </c>
    </row>
    <row r="131" spans="2:14" ht="19.5" customHeight="1">
      <c r="B131" s="57">
        <v>44982</v>
      </c>
      <c r="C131" s="53" t="s">
        <v>4</v>
      </c>
      <c r="D131" s="58">
        <v>0</v>
      </c>
      <c r="E131" s="57">
        <f t="shared" si="28"/>
        <v>44982</v>
      </c>
      <c r="F131" s="57">
        <v>45016</v>
      </c>
      <c r="G131" s="53">
        <f t="shared" si="29"/>
        <v>35</v>
      </c>
      <c r="H131" s="53">
        <v>365</v>
      </c>
      <c r="I131" s="52">
        <f t="shared" si="30"/>
        <v>0</v>
      </c>
      <c r="J131" s="74">
        <f t="shared" si="31"/>
        <v>0</v>
      </c>
    </row>
    <row r="132" spans="2:14" ht="19.5" customHeight="1">
      <c r="B132" s="57">
        <v>45010</v>
      </c>
      <c r="C132" s="53" t="s">
        <v>4</v>
      </c>
      <c r="D132" s="58">
        <v>0</v>
      </c>
      <c r="E132" s="57">
        <f t="shared" si="28"/>
        <v>45010</v>
      </c>
      <c r="F132" s="57">
        <v>45016</v>
      </c>
      <c r="G132" s="53">
        <f t="shared" si="29"/>
        <v>7</v>
      </c>
      <c r="H132" s="53">
        <v>365</v>
      </c>
      <c r="I132" s="52">
        <f t="shared" si="30"/>
        <v>0</v>
      </c>
      <c r="J132" s="74">
        <f t="shared" si="31"/>
        <v>0</v>
      </c>
    </row>
    <row r="133" spans="2:14" ht="19.5" customHeight="1">
      <c r="D133" s="58">
        <f>SUM(D120:D132)</f>
        <v>0</v>
      </c>
      <c r="J133" s="74">
        <f>SUM(J120:J132)</f>
        <v>0</v>
      </c>
    </row>
    <row r="134" spans="2:14" ht="19.5" customHeight="1">
      <c r="B134" s="57">
        <v>45017</v>
      </c>
      <c r="C134" s="53" t="s">
        <v>5</v>
      </c>
      <c r="D134" s="58">
        <f>D133+N129</f>
        <v>0</v>
      </c>
      <c r="E134" s="57">
        <f>B134</f>
        <v>45017</v>
      </c>
      <c r="F134" s="57">
        <v>45382</v>
      </c>
      <c r="G134" s="53">
        <f>F134-B134+1</f>
        <v>366</v>
      </c>
      <c r="H134" s="53">
        <v>365</v>
      </c>
      <c r="I134" s="52">
        <f>ROUNDDOWN(D134/100,0)*100</f>
        <v>0</v>
      </c>
      <c r="J134" s="74">
        <f>ROUNDDOWN(I134*G134/H134,0)</f>
        <v>0</v>
      </c>
    </row>
  </sheetData>
  <mergeCells count="8">
    <mergeCell ref="K113:N113"/>
    <mergeCell ref="K127:N127"/>
    <mergeCell ref="A1:F1"/>
    <mergeCell ref="K59:N59"/>
    <mergeCell ref="K71:N71"/>
    <mergeCell ref="K80:N80"/>
    <mergeCell ref="K85:N85"/>
    <mergeCell ref="K99:N99"/>
  </mergeCells>
  <phoneticPr fontId="2"/>
  <pageMargins left="0.75" right="0.75" top="1" bottom="1" header="0.51200000000000001" footer="0.51200000000000001"/>
  <pageSetup paperSize="9" scale="55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5" tint="-0.249977111117893"/>
  </sheetPr>
  <dimension ref="A1:S134"/>
  <sheetViews>
    <sheetView topLeftCell="A2" zoomScale="75" workbookViewId="0">
      <selection activeCell="I9" sqref="I9"/>
    </sheetView>
  </sheetViews>
  <sheetFormatPr defaultRowHeight="17.25"/>
  <cols>
    <col min="1" max="1" width="11.875" style="53" bestFit="1" customWidth="1"/>
    <col min="2" max="2" width="14.625" style="53" bestFit="1" customWidth="1"/>
    <col min="3" max="3" width="11.875" style="53" bestFit="1" customWidth="1"/>
    <col min="4" max="4" width="23" style="53" bestFit="1" customWidth="1"/>
    <col min="5" max="6" width="14.625" style="53" bestFit="1" customWidth="1"/>
    <col min="7" max="8" width="11.875" style="53" bestFit="1" customWidth="1"/>
    <col min="9" max="9" width="21.625" style="52" bestFit="1" customWidth="1"/>
    <col min="10" max="10" width="20.25" style="71" bestFit="1" customWidth="1"/>
    <col min="11" max="12" width="20.25" style="53" customWidth="1"/>
    <col min="13" max="13" width="16.125" style="53" bestFit="1" customWidth="1"/>
    <col min="14" max="14" width="18.875" style="53" bestFit="1" customWidth="1"/>
    <col min="15" max="16384" width="9" style="53"/>
  </cols>
  <sheetData>
    <row r="1" spans="1:19" ht="18" customHeight="1">
      <c r="A1" s="97" t="s">
        <v>39</v>
      </c>
      <c r="B1" s="97"/>
      <c r="C1" s="97"/>
      <c r="D1" s="97"/>
      <c r="E1" s="97"/>
      <c r="F1" s="97"/>
    </row>
    <row r="3" spans="1:19" ht="19.5" customHeight="1" thickBot="1">
      <c r="B3" s="54" t="s">
        <v>1</v>
      </c>
      <c r="C3" s="54" t="s">
        <v>2</v>
      </c>
      <c r="D3" s="55" t="s">
        <v>3</v>
      </c>
      <c r="E3" s="55" t="s">
        <v>6</v>
      </c>
      <c r="F3" s="54" t="s">
        <v>7</v>
      </c>
      <c r="G3" s="54" t="s">
        <v>8</v>
      </c>
      <c r="H3" s="54" t="s">
        <v>9</v>
      </c>
      <c r="I3" s="56" t="s">
        <v>10</v>
      </c>
      <c r="J3" s="72"/>
      <c r="K3" s="54"/>
      <c r="L3" s="54"/>
      <c r="M3" s="54"/>
      <c r="N3" s="54"/>
      <c r="O3" s="54"/>
      <c r="P3" s="54"/>
      <c r="Q3" s="54"/>
      <c r="R3" s="54"/>
      <c r="S3" s="54"/>
    </row>
    <row r="4" spans="1:19" ht="19.5" customHeight="1">
      <c r="A4" s="53" t="s">
        <v>28</v>
      </c>
      <c r="B4" s="57">
        <v>42461</v>
      </c>
      <c r="C4" s="53" t="s">
        <v>5</v>
      </c>
      <c r="D4" s="58">
        <v>47015815639</v>
      </c>
      <c r="E4" s="57">
        <f t="shared" ref="E4:E33" si="0">B4</f>
        <v>42461</v>
      </c>
      <c r="F4" s="57">
        <v>42735</v>
      </c>
      <c r="G4" s="68">
        <f t="shared" ref="G4:G33" si="1">F4-B4+1</f>
        <v>275</v>
      </c>
      <c r="H4" s="53">
        <v>275</v>
      </c>
      <c r="I4" s="52">
        <f t="shared" ref="I4:I33" si="2">ROUNDDOWN(D4/100,0)*100</f>
        <v>47015815600</v>
      </c>
      <c r="J4" s="71">
        <f t="shared" ref="J4:J33" si="3">ROUNDDOWN(I4*G4/H4,0)</f>
        <v>47015815600</v>
      </c>
    </row>
    <row r="5" spans="1:19" ht="19.5" customHeight="1">
      <c r="B5" s="57">
        <v>42461</v>
      </c>
      <c r="C5" s="53" t="s">
        <v>37</v>
      </c>
      <c r="D5" s="58">
        <v>-3208874806</v>
      </c>
      <c r="E5" s="57">
        <f t="shared" si="0"/>
        <v>42461</v>
      </c>
      <c r="F5" s="57">
        <v>42735</v>
      </c>
      <c r="G5" s="68">
        <f>F5-B5+1</f>
        <v>275</v>
      </c>
      <c r="H5" s="53">
        <v>275</v>
      </c>
      <c r="I5" s="52" t="e">
        <f>#REF!</f>
        <v>#REF!</v>
      </c>
      <c r="J5" s="71" t="e">
        <f t="shared" si="3"/>
        <v>#REF!</v>
      </c>
    </row>
    <row r="6" spans="1:19" ht="19.5" customHeight="1">
      <c r="B6" s="57">
        <v>42485</v>
      </c>
      <c r="C6" s="53" t="s">
        <v>4</v>
      </c>
      <c r="D6" s="58">
        <v>266549000</v>
      </c>
      <c r="E6" s="57">
        <f t="shared" si="0"/>
        <v>42485</v>
      </c>
      <c r="F6" s="57">
        <v>42735</v>
      </c>
      <c r="G6" s="68">
        <f t="shared" si="1"/>
        <v>251</v>
      </c>
      <c r="H6" s="53">
        <v>275</v>
      </c>
      <c r="I6" s="52">
        <f>ROUNDDOWN(D6/100,0)*100</f>
        <v>266549000</v>
      </c>
      <c r="J6" s="71">
        <f t="shared" si="3"/>
        <v>243286541</v>
      </c>
      <c r="K6" s="76"/>
      <c r="L6" s="81"/>
    </row>
    <row r="7" spans="1:19" ht="19.5" customHeight="1">
      <c r="B7" s="57">
        <v>42490</v>
      </c>
      <c r="C7" s="53" t="s">
        <v>0</v>
      </c>
      <c r="D7" s="58">
        <v>911073652</v>
      </c>
      <c r="E7" s="57">
        <f t="shared" si="0"/>
        <v>42490</v>
      </c>
      <c r="F7" s="57">
        <v>42735</v>
      </c>
      <c r="G7" s="68">
        <f t="shared" si="1"/>
        <v>246</v>
      </c>
      <c r="H7" s="53">
        <v>275</v>
      </c>
      <c r="I7" s="52">
        <f t="shared" si="2"/>
        <v>911073600</v>
      </c>
      <c r="J7" s="71">
        <f t="shared" si="3"/>
        <v>814996747</v>
      </c>
    </row>
    <row r="8" spans="1:19" ht="19.5" customHeight="1">
      <c r="B8" s="57">
        <v>42491</v>
      </c>
      <c r="C8" s="53" t="s">
        <v>37</v>
      </c>
      <c r="D8" s="58">
        <v>-356899681</v>
      </c>
      <c r="E8" s="57">
        <f t="shared" si="0"/>
        <v>42491</v>
      </c>
      <c r="F8" s="57">
        <v>42735</v>
      </c>
      <c r="G8" s="68">
        <f t="shared" si="1"/>
        <v>245</v>
      </c>
      <c r="H8" s="53">
        <v>275</v>
      </c>
      <c r="I8" s="52">
        <f>ROUNDDOWN(D8/100,0)*100</f>
        <v>-356899600</v>
      </c>
      <c r="J8" s="71">
        <f t="shared" si="3"/>
        <v>-317965098</v>
      </c>
      <c r="L8" s="87"/>
    </row>
    <row r="9" spans="1:19" ht="19.5" customHeight="1">
      <c r="B9" s="57">
        <v>42515</v>
      </c>
      <c r="C9" s="53" t="s">
        <v>4</v>
      </c>
      <c r="D9" s="58">
        <v>267786000</v>
      </c>
      <c r="E9" s="57">
        <f t="shared" si="0"/>
        <v>42515</v>
      </c>
      <c r="F9" s="57">
        <v>42735</v>
      </c>
      <c r="G9" s="68">
        <f t="shared" si="1"/>
        <v>221</v>
      </c>
      <c r="H9" s="53">
        <v>275</v>
      </c>
      <c r="I9" s="52">
        <f t="shared" si="2"/>
        <v>267786000</v>
      </c>
      <c r="J9" s="71">
        <f t="shared" si="3"/>
        <v>215202567</v>
      </c>
      <c r="K9" s="76"/>
      <c r="L9" s="81"/>
    </row>
    <row r="10" spans="1:19" ht="19.5" customHeight="1">
      <c r="B10" s="57">
        <v>42521</v>
      </c>
      <c r="C10" s="53" t="s">
        <v>0</v>
      </c>
      <c r="D10" s="58">
        <v>526583161</v>
      </c>
      <c r="E10" s="57">
        <f t="shared" si="0"/>
        <v>42521</v>
      </c>
      <c r="F10" s="57">
        <v>42735</v>
      </c>
      <c r="G10" s="68">
        <f t="shared" si="1"/>
        <v>215</v>
      </c>
      <c r="H10" s="53">
        <v>275</v>
      </c>
      <c r="I10" s="52">
        <f t="shared" si="2"/>
        <v>526583100</v>
      </c>
      <c r="J10" s="71">
        <f t="shared" si="3"/>
        <v>411692241</v>
      </c>
    </row>
    <row r="11" spans="1:19" ht="19.5" customHeight="1">
      <c r="B11" s="57">
        <v>42522</v>
      </c>
      <c r="C11" s="53" t="s">
        <v>37</v>
      </c>
      <c r="D11" s="58">
        <v>-489231212</v>
      </c>
      <c r="E11" s="57">
        <f t="shared" si="0"/>
        <v>42522</v>
      </c>
      <c r="F11" s="57">
        <v>42735</v>
      </c>
      <c r="G11" s="68">
        <f t="shared" si="1"/>
        <v>214</v>
      </c>
      <c r="H11" s="53">
        <v>275</v>
      </c>
      <c r="I11" s="52">
        <f t="shared" si="2"/>
        <v>-489231200</v>
      </c>
      <c r="J11" s="71">
        <f t="shared" si="3"/>
        <v>-380710824</v>
      </c>
    </row>
    <row r="12" spans="1:19" ht="19.5" customHeight="1">
      <c r="B12" s="57">
        <v>42546</v>
      </c>
      <c r="C12" s="53" t="s">
        <v>4</v>
      </c>
      <c r="D12" s="58">
        <v>270294000</v>
      </c>
      <c r="E12" s="57">
        <f t="shared" si="0"/>
        <v>42546</v>
      </c>
      <c r="F12" s="57">
        <v>42735</v>
      </c>
      <c r="G12" s="68">
        <f t="shared" si="1"/>
        <v>190</v>
      </c>
      <c r="H12" s="53">
        <v>275</v>
      </c>
      <c r="I12" s="52">
        <f t="shared" si="2"/>
        <v>270294000</v>
      </c>
      <c r="J12" s="71">
        <f t="shared" si="3"/>
        <v>186748581</v>
      </c>
    </row>
    <row r="13" spans="1:19" ht="19.5" customHeight="1">
      <c r="B13" s="57">
        <v>42551</v>
      </c>
      <c r="C13" s="53" t="s">
        <v>0</v>
      </c>
      <c r="D13" s="58">
        <v>202192364</v>
      </c>
      <c r="E13" s="57">
        <f t="shared" si="0"/>
        <v>42551</v>
      </c>
      <c r="F13" s="57">
        <v>42735</v>
      </c>
      <c r="G13" s="68">
        <f t="shared" si="1"/>
        <v>185</v>
      </c>
      <c r="H13" s="53">
        <v>275</v>
      </c>
      <c r="I13" s="52">
        <f t="shared" si="2"/>
        <v>202192300</v>
      </c>
      <c r="J13" s="71">
        <f t="shared" si="3"/>
        <v>136020274</v>
      </c>
    </row>
    <row r="14" spans="1:19" ht="19.5" customHeight="1">
      <c r="B14" s="57">
        <v>42552</v>
      </c>
      <c r="C14" s="53" t="s">
        <v>37</v>
      </c>
      <c r="D14" s="58">
        <v>-261942287</v>
      </c>
      <c r="E14" s="57">
        <f t="shared" si="0"/>
        <v>42552</v>
      </c>
      <c r="F14" s="57">
        <v>42735</v>
      </c>
      <c r="G14" s="68">
        <f t="shared" si="1"/>
        <v>184</v>
      </c>
      <c r="H14" s="53">
        <v>275</v>
      </c>
      <c r="I14" s="52">
        <f t="shared" si="2"/>
        <v>-261942200</v>
      </c>
      <c r="J14" s="71">
        <f t="shared" si="3"/>
        <v>-175263144</v>
      </c>
    </row>
    <row r="15" spans="1:19" ht="19.5" customHeight="1">
      <c r="B15" s="57">
        <v>42556</v>
      </c>
      <c r="C15" s="53" t="s">
        <v>38</v>
      </c>
      <c r="D15" s="58">
        <v>275425000</v>
      </c>
      <c r="E15" s="57">
        <f t="shared" si="0"/>
        <v>42556</v>
      </c>
      <c r="F15" s="57">
        <v>42735</v>
      </c>
      <c r="G15" s="68">
        <f t="shared" si="1"/>
        <v>180</v>
      </c>
      <c r="H15" s="53">
        <v>275</v>
      </c>
      <c r="I15" s="52">
        <f t="shared" si="2"/>
        <v>275425000</v>
      </c>
      <c r="J15" s="71">
        <f t="shared" si="3"/>
        <v>180278181</v>
      </c>
    </row>
    <row r="16" spans="1:19" ht="19.5" customHeight="1">
      <c r="B16" s="57">
        <v>42576</v>
      </c>
      <c r="C16" s="53" t="s">
        <v>4</v>
      </c>
      <c r="D16" s="58">
        <v>272011500</v>
      </c>
      <c r="E16" s="57">
        <f t="shared" si="0"/>
        <v>42576</v>
      </c>
      <c r="F16" s="57">
        <v>42735</v>
      </c>
      <c r="G16" s="68">
        <f t="shared" si="1"/>
        <v>160</v>
      </c>
      <c r="H16" s="53">
        <v>275</v>
      </c>
      <c r="I16" s="52">
        <f t="shared" si="2"/>
        <v>272011500</v>
      </c>
      <c r="J16" s="71">
        <f t="shared" si="3"/>
        <v>158261236</v>
      </c>
    </row>
    <row r="17" spans="2:13" ht="19.5" customHeight="1">
      <c r="B17" s="57">
        <v>42581</v>
      </c>
      <c r="C17" s="53" t="s">
        <v>0</v>
      </c>
      <c r="D17" s="58">
        <v>684940232</v>
      </c>
      <c r="E17" s="57">
        <f t="shared" si="0"/>
        <v>42581</v>
      </c>
      <c r="F17" s="57">
        <v>42735</v>
      </c>
      <c r="G17" s="68">
        <f t="shared" si="1"/>
        <v>155</v>
      </c>
      <c r="H17" s="53">
        <v>275</v>
      </c>
      <c r="I17" s="52">
        <f t="shared" si="2"/>
        <v>684940200</v>
      </c>
      <c r="J17" s="71">
        <f t="shared" si="3"/>
        <v>386057203</v>
      </c>
    </row>
    <row r="18" spans="2:13" ht="19.5" customHeight="1">
      <c r="B18" s="57">
        <v>42583</v>
      </c>
      <c r="C18" s="53" t="s">
        <v>37</v>
      </c>
      <c r="D18" s="58">
        <v>-325768085</v>
      </c>
      <c r="E18" s="57">
        <f t="shared" si="0"/>
        <v>42583</v>
      </c>
      <c r="F18" s="57">
        <v>42735</v>
      </c>
      <c r="G18" s="68">
        <f t="shared" si="1"/>
        <v>153</v>
      </c>
      <c r="H18" s="53">
        <v>275</v>
      </c>
      <c r="I18" s="52">
        <f t="shared" si="2"/>
        <v>-325768000</v>
      </c>
      <c r="J18" s="71">
        <f t="shared" si="3"/>
        <v>-181245469</v>
      </c>
    </row>
    <row r="19" spans="2:13" ht="19.5" customHeight="1">
      <c r="B19" s="57">
        <v>42607</v>
      </c>
      <c r="C19" s="53" t="s">
        <v>4</v>
      </c>
      <c r="D19" s="58">
        <v>273418500</v>
      </c>
      <c r="E19" s="57">
        <f t="shared" si="0"/>
        <v>42607</v>
      </c>
      <c r="F19" s="57">
        <v>42735</v>
      </c>
      <c r="G19" s="68">
        <f t="shared" si="1"/>
        <v>129</v>
      </c>
      <c r="H19" s="53">
        <v>275</v>
      </c>
      <c r="I19" s="52">
        <f t="shared" si="2"/>
        <v>273418500</v>
      </c>
      <c r="J19" s="71">
        <f t="shared" si="3"/>
        <v>128258132</v>
      </c>
    </row>
    <row r="20" spans="2:13" ht="19.5" customHeight="1">
      <c r="B20" s="57">
        <v>42612</v>
      </c>
      <c r="C20" s="53" t="s">
        <v>0</v>
      </c>
      <c r="D20" s="58">
        <v>322665000</v>
      </c>
      <c r="E20" s="57">
        <f t="shared" si="0"/>
        <v>42612</v>
      </c>
      <c r="F20" s="57">
        <v>42735</v>
      </c>
      <c r="G20" s="68">
        <f t="shared" si="1"/>
        <v>124</v>
      </c>
      <c r="H20" s="53">
        <v>275</v>
      </c>
      <c r="I20" s="52">
        <f t="shared" si="2"/>
        <v>322665000</v>
      </c>
      <c r="J20" s="71">
        <f t="shared" si="3"/>
        <v>145492581</v>
      </c>
    </row>
    <row r="21" spans="2:13" ht="19.5" customHeight="1">
      <c r="B21" s="57">
        <v>42614</v>
      </c>
      <c r="C21" s="53" t="s">
        <v>37</v>
      </c>
      <c r="D21" s="58">
        <v>-354163128</v>
      </c>
      <c r="E21" s="57">
        <f t="shared" si="0"/>
        <v>42614</v>
      </c>
      <c r="F21" s="57">
        <v>42735</v>
      </c>
      <c r="G21" s="68">
        <f t="shared" si="1"/>
        <v>122</v>
      </c>
      <c r="H21" s="53">
        <v>275</v>
      </c>
      <c r="I21" s="52">
        <f t="shared" si="2"/>
        <v>-354163100</v>
      </c>
      <c r="J21" s="71">
        <f t="shared" si="3"/>
        <v>-157119629</v>
      </c>
    </row>
    <row r="22" spans="2:13" ht="19.5" customHeight="1">
      <c r="B22" s="57">
        <v>42638</v>
      </c>
      <c r="C22" s="53" t="s">
        <v>4</v>
      </c>
      <c r="D22" s="58">
        <v>273827500</v>
      </c>
      <c r="E22" s="57">
        <f t="shared" si="0"/>
        <v>42638</v>
      </c>
      <c r="F22" s="57">
        <v>42735</v>
      </c>
      <c r="G22" s="68">
        <f t="shared" si="1"/>
        <v>98</v>
      </c>
      <c r="H22" s="53">
        <v>275</v>
      </c>
      <c r="I22" s="52">
        <f t="shared" si="2"/>
        <v>273827500</v>
      </c>
      <c r="J22" s="71">
        <f t="shared" si="3"/>
        <v>97582163</v>
      </c>
      <c r="K22" s="76"/>
      <c r="L22" s="81"/>
    </row>
    <row r="23" spans="2:13" ht="19.5" customHeight="1">
      <c r="B23" s="57">
        <v>42643</v>
      </c>
      <c r="C23" s="53" t="s">
        <v>0</v>
      </c>
      <c r="D23" s="58">
        <v>293471000</v>
      </c>
      <c r="E23" s="57">
        <f t="shared" si="0"/>
        <v>42643</v>
      </c>
      <c r="F23" s="57">
        <v>42735</v>
      </c>
      <c r="G23" s="68">
        <f t="shared" si="1"/>
        <v>93</v>
      </c>
      <c r="H23" s="53">
        <v>275</v>
      </c>
      <c r="I23" s="52">
        <f t="shared" si="2"/>
        <v>293471000</v>
      </c>
      <c r="J23" s="71">
        <f t="shared" si="3"/>
        <v>99246556</v>
      </c>
      <c r="K23" s="76"/>
      <c r="L23" s="52"/>
    </row>
    <row r="24" spans="2:13" ht="19.5" customHeight="1">
      <c r="B24" s="57">
        <v>42644</v>
      </c>
      <c r="C24" s="53" t="s">
        <v>37</v>
      </c>
      <c r="D24" s="58">
        <v>-385463653</v>
      </c>
      <c r="E24" s="57">
        <f t="shared" si="0"/>
        <v>42644</v>
      </c>
      <c r="F24" s="57">
        <v>42735</v>
      </c>
      <c r="G24" s="53">
        <f t="shared" si="1"/>
        <v>92</v>
      </c>
      <c r="H24" s="53">
        <v>275</v>
      </c>
      <c r="I24" s="52">
        <f t="shared" si="2"/>
        <v>-385463600</v>
      </c>
      <c r="J24" s="74">
        <f t="shared" si="3"/>
        <v>-128955095</v>
      </c>
      <c r="K24" s="52"/>
    </row>
    <row r="25" spans="2:13" ht="19.5" customHeight="1">
      <c r="B25" s="67">
        <v>42668</v>
      </c>
      <c r="C25" s="68" t="s">
        <v>4</v>
      </c>
      <c r="D25" s="69">
        <v>274352000</v>
      </c>
      <c r="E25" s="67">
        <f t="shared" si="0"/>
        <v>42668</v>
      </c>
      <c r="F25" s="57">
        <v>42735</v>
      </c>
      <c r="G25" s="68">
        <f t="shared" si="1"/>
        <v>68</v>
      </c>
      <c r="H25" s="53">
        <v>275</v>
      </c>
      <c r="I25" s="70">
        <f t="shared" si="2"/>
        <v>274352000</v>
      </c>
      <c r="J25" s="73">
        <f t="shared" si="3"/>
        <v>67839767</v>
      </c>
    </row>
    <row r="26" spans="2:13" ht="19.5" customHeight="1">
      <c r="B26" s="67">
        <v>42673</v>
      </c>
      <c r="C26" s="68" t="s">
        <v>0</v>
      </c>
      <c r="D26" s="69">
        <v>276446706</v>
      </c>
      <c r="E26" s="67">
        <f t="shared" si="0"/>
        <v>42673</v>
      </c>
      <c r="F26" s="57">
        <v>42735</v>
      </c>
      <c r="G26" s="68">
        <f t="shared" si="1"/>
        <v>63</v>
      </c>
      <c r="H26" s="53">
        <v>275</v>
      </c>
      <c r="I26" s="70">
        <f t="shared" si="2"/>
        <v>276446700</v>
      </c>
      <c r="J26" s="73">
        <f t="shared" si="3"/>
        <v>63331425</v>
      </c>
    </row>
    <row r="27" spans="2:13" ht="19.5" customHeight="1">
      <c r="B27" s="67">
        <v>42675</v>
      </c>
      <c r="C27" s="68" t="s">
        <v>37</v>
      </c>
      <c r="D27" s="69">
        <v>-319825727</v>
      </c>
      <c r="E27" s="67">
        <f t="shared" si="0"/>
        <v>42675</v>
      </c>
      <c r="F27" s="57">
        <v>42735</v>
      </c>
      <c r="G27" s="68">
        <f t="shared" si="1"/>
        <v>61</v>
      </c>
      <c r="H27" s="53">
        <v>275</v>
      </c>
      <c r="I27" s="70">
        <f t="shared" si="2"/>
        <v>-319825700</v>
      </c>
      <c r="J27" s="73">
        <f t="shared" si="3"/>
        <v>-70943155</v>
      </c>
    </row>
    <row r="28" spans="2:13" ht="19.5" customHeight="1">
      <c r="B28" s="67">
        <v>42699</v>
      </c>
      <c r="C28" s="68" t="s">
        <v>4</v>
      </c>
      <c r="D28" s="69">
        <v>275360000</v>
      </c>
      <c r="E28" s="67">
        <f t="shared" si="0"/>
        <v>42699</v>
      </c>
      <c r="F28" s="57">
        <v>42735</v>
      </c>
      <c r="G28" s="68">
        <f t="shared" si="1"/>
        <v>37</v>
      </c>
      <c r="H28" s="53">
        <v>275</v>
      </c>
      <c r="I28" s="70">
        <f t="shared" si="2"/>
        <v>275360000</v>
      </c>
      <c r="J28" s="73">
        <f t="shared" si="3"/>
        <v>37048436</v>
      </c>
    </row>
    <row r="29" spans="2:13" ht="19.5" customHeight="1">
      <c r="B29" s="67">
        <v>42704</v>
      </c>
      <c r="C29" s="68" t="s">
        <v>0</v>
      </c>
      <c r="D29" s="69">
        <v>149050000</v>
      </c>
      <c r="E29" s="67">
        <f t="shared" si="0"/>
        <v>42704</v>
      </c>
      <c r="F29" s="57">
        <v>42735</v>
      </c>
      <c r="G29" s="68">
        <f t="shared" si="1"/>
        <v>32</v>
      </c>
      <c r="H29" s="53">
        <v>275</v>
      </c>
      <c r="I29" s="70">
        <f t="shared" si="2"/>
        <v>149050000</v>
      </c>
      <c r="J29" s="73">
        <f t="shared" si="3"/>
        <v>17344000</v>
      </c>
    </row>
    <row r="30" spans="2:13" ht="19.5" customHeight="1">
      <c r="B30" s="67">
        <v>42705</v>
      </c>
      <c r="C30" s="68" t="s">
        <v>37</v>
      </c>
      <c r="D30" s="69">
        <v>-253578184</v>
      </c>
      <c r="E30" s="67">
        <f t="shared" si="0"/>
        <v>42705</v>
      </c>
      <c r="F30" s="57">
        <v>42735</v>
      </c>
      <c r="G30" s="68">
        <f t="shared" si="1"/>
        <v>31</v>
      </c>
      <c r="H30" s="53">
        <v>275</v>
      </c>
      <c r="I30" s="70">
        <f t="shared" si="2"/>
        <v>-253578100</v>
      </c>
      <c r="J30" s="73">
        <f t="shared" si="3"/>
        <v>-28585167</v>
      </c>
      <c r="L30" s="76"/>
    </row>
    <row r="31" spans="2:13" ht="19.5" customHeight="1">
      <c r="B31" s="67">
        <v>42719</v>
      </c>
      <c r="C31" s="68" t="s">
        <v>38</v>
      </c>
      <c r="D31" s="69">
        <v>301374000</v>
      </c>
      <c r="E31" s="67">
        <f t="shared" si="0"/>
        <v>42719</v>
      </c>
      <c r="F31" s="57">
        <v>42735</v>
      </c>
      <c r="G31" s="68">
        <f t="shared" si="1"/>
        <v>17</v>
      </c>
      <c r="H31" s="53">
        <v>275</v>
      </c>
      <c r="I31" s="70">
        <f t="shared" si="2"/>
        <v>301374000</v>
      </c>
      <c r="J31" s="73">
        <f t="shared" si="3"/>
        <v>18630392</v>
      </c>
      <c r="L31" s="71" t="e">
        <f>J34*1.6/100*275/365</f>
        <v>#REF!</v>
      </c>
    </row>
    <row r="32" spans="2:13" ht="19.5" customHeight="1">
      <c r="B32" s="67">
        <v>42729</v>
      </c>
      <c r="C32" s="68" t="s">
        <v>4</v>
      </c>
      <c r="D32" s="69">
        <v>275344000</v>
      </c>
      <c r="E32" s="67">
        <f t="shared" si="0"/>
        <v>42729</v>
      </c>
      <c r="F32" s="57">
        <v>42735</v>
      </c>
      <c r="G32" s="68">
        <f t="shared" si="1"/>
        <v>7</v>
      </c>
      <c r="H32" s="53">
        <v>275</v>
      </c>
      <c r="I32" s="70">
        <f t="shared" si="2"/>
        <v>275344000</v>
      </c>
      <c r="J32" s="73">
        <f t="shared" si="3"/>
        <v>7008756</v>
      </c>
      <c r="L32" s="86">
        <v>551499936</v>
      </c>
      <c r="M32" s="53" t="s">
        <v>40</v>
      </c>
    </row>
    <row r="33" spans="2:14" ht="19.5" customHeight="1">
      <c r="B33" s="67">
        <v>42734</v>
      </c>
      <c r="C33" s="68" t="s">
        <v>0</v>
      </c>
      <c r="D33" s="69">
        <v>299054000</v>
      </c>
      <c r="E33" s="67">
        <f t="shared" si="0"/>
        <v>42734</v>
      </c>
      <c r="F33" s="57">
        <v>42735</v>
      </c>
      <c r="G33" s="68">
        <f t="shared" si="1"/>
        <v>2</v>
      </c>
      <c r="H33" s="53">
        <v>275</v>
      </c>
      <c r="I33" s="70">
        <f t="shared" si="2"/>
        <v>299054000</v>
      </c>
      <c r="J33" s="73">
        <f t="shared" si="3"/>
        <v>2174938</v>
      </c>
      <c r="K33" s="76"/>
      <c r="L33" s="76" t="e">
        <f>L31-L32</f>
        <v>#REF!</v>
      </c>
    </row>
    <row r="34" spans="2:14" ht="19.5" customHeight="1">
      <c r="B34" s="67"/>
      <c r="C34" s="68"/>
      <c r="D34" s="69"/>
      <c r="E34" s="67"/>
      <c r="F34" s="67"/>
      <c r="G34" s="68"/>
      <c r="H34" s="68"/>
      <c r="I34" s="70"/>
      <c r="J34" s="73" t="e">
        <f>SUM(J4:J33)</f>
        <v>#REF!</v>
      </c>
    </row>
    <row r="35" spans="2:14" ht="19.5" customHeight="1">
      <c r="B35" s="67"/>
      <c r="C35" s="68"/>
      <c r="D35" s="69"/>
      <c r="E35" s="67"/>
      <c r="F35" s="67"/>
      <c r="G35" s="68"/>
      <c r="H35" s="68"/>
      <c r="I35" s="70"/>
      <c r="J35" s="73"/>
      <c r="K35" s="76"/>
    </row>
    <row r="36" spans="2:14" ht="19.5" customHeight="1">
      <c r="B36" s="67">
        <v>42736</v>
      </c>
      <c r="C36" s="68"/>
      <c r="D36" s="69">
        <v>47751286491</v>
      </c>
      <c r="E36" s="67">
        <f t="shared" ref="E36:E45" si="4">B36</f>
        <v>42736</v>
      </c>
      <c r="F36" s="67">
        <v>42825</v>
      </c>
      <c r="G36" s="68">
        <f t="shared" ref="G36:G45" si="5">F36-B36+1</f>
        <v>90</v>
      </c>
      <c r="H36" s="68">
        <v>90</v>
      </c>
      <c r="I36" s="70">
        <f t="shared" ref="I36:I45" si="6">ROUNDDOWN(D36/100,0)*100</f>
        <v>47751286400</v>
      </c>
      <c r="J36" s="73">
        <f t="shared" ref="J36:J45" si="7">ROUNDDOWN(I36*G36/H36,0)</f>
        <v>47751286400</v>
      </c>
    </row>
    <row r="37" spans="2:14" ht="19.5" customHeight="1">
      <c r="B37" s="67">
        <v>42736</v>
      </c>
      <c r="C37" s="68" t="s">
        <v>37</v>
      </c>
      <c r="D37" s="69">
        <v>-360000000</v>
      </c>
      <c r="E37" s="67">
        <f t="shared" si="4"/>
        <v>42736</v>
      </c>
      <c r="F37" s="67">
        <v>42825</v>
      </c>
      <c r="G37" s="68">
        <f t="shared" si="5"/>
        <v>90</v>
      </c>
      <c r="H37" s="68">
        <v>90</v>
      </c>
      <c r="I37" s="70">
        <f t="shared" si="6"/>
        <v>-360000000</v>
      </c>
      <c r="J37" s="73">
        <f t="shared" si="7"/>
        <v>-360000000</v>
      </c>
    </row>
    <row r="38" spans="2:14" ht="19.5" customHeight="1">
      <c r="B38" s="67">
        <v>42760</v>
      </c>
      <c r="C38" s="68" t="s">
        <v>4</v>
      </c>
      <c r="D38" s="69">
        <v>276400000</v>
      </c>
      <c r="E38" s="67">
        <f t="shared" si="4"/>
        <v>42760</v>
      </c>
      <c r="F38" s="67">
        <v>42825</v>
      </c>
      <c r="G38" s="68">
        <f t="shared" si="5"/>
        <v>66</v>
      </c>
      <c r="H38" s="68">
        <v>90</v>
      </c>
      <c r="I38" s="70">
        <f t="shared" si="6"/>
        <v>276400000</v>
      </c>
      <c r="J38" s="73">
        <f t="shared" si="7"/>
        <v>202693333</v>
      </c>
    </row>
    <row r="39" spans="2:14" ht="19.5" customHeight="1">
      <c r="B39" s="67">
        <v>42765</v>
      </c>
      <c r="C39" s="68" t="s">
        <v>0</v>
      </c>
      <c r="D39" s="69">
        <v>261400000</v>
      </c>
      <c r="E39" s="67">
        <f t="shared" si="4"/>
        <v>42765</v>
      </c>
      <c r="F39" s="67">
        <v>42825</v>
      </c>
      <c r="G39" s="68">
        <f t="shared" si="5"/>
        <v>61</v>
      </c>
      <c r="H39" s="68">
        <v>90</v>
      </c>
      <c r="I39" s="70">
        <f t="shared" si="6"/>
        <v>261400000</v>
      </c>
      <c r="J39" s="73">
        <f t="shared" si="7"/>
        <v>177171111</v>
      </c>
    </row>
    <row r="40" spans="2:14" ht="19.5" customHeight="1">
      <c r="B40" s="67">
        <v>42767</v>
      </c>
      <c r="C40" s="68" t="s">
        <v>37</v>
      </c>
      <c r="D40" s="69">
        <v>-434000000</v>
      </c>
      <c r="E40" s="67">
        <f t="shared" si="4"/>
        <v>42767</v>
      </c>
      <c r="F40" s="67">
        <v>42825</v>
      </c>
      <c r="G40" s="68">
        <f t="shared" si="5"/>
        <v>59</v>
      </c>
      <c r="H40" s="68">
        <v>90</v>
      </c>
      <c r="I40" s="70">
        <f t="shared" si="6"/>
        <v>-434000000</v>
      </c>
      <c r="J40" s="73">
        <f t="shared" si="7"/>
        <v>-284511111</v>
      </c>
      <c r="K40" s="75"/>
      <c r="L40" s="71"/>
    </row>
    <row r="41" spans="2:14" ht="19.5" customHeight="1">
      <c r="B41" s="67">
        <v>42791</v>
      </c>
      <c r="C41" s="68" t="s">
        <v>4</v>
      </c>
      <c r="D41" s="69">
        <v>276800000</v>
      </c>
      <c r="E41" s="67">
        <f t="shared" si="4"/>
        <v>42791</v>
      </c>
      <c r="F41" s="67">
        <v>42825</v>
      </c>
      <c r="G41" s="68">
        <f t="shared" si="5"/>
        <v>35</v>
      </c>
      <c r="H41" s="68">
        <v>90</v>
      </c>
      <c r="I41" s="70">
        <f t="shared" si="6"/>
        <v>276800000</v>
      </c>
      <c r="J41" s="73">
        <f t="shared" si="7"/>
        <v>107644444</v>
      </c>
      <c r="L41" s="52" t="s">
        <v>42</v>
      </c>
    </row>
    <row r="42" spans="2:14" ht="19.5" customHeight="1">
      <c r="B42" s="85">
        <v>42794</v>
      </c>
      <c r="C42" s="68" t="s">
        <v>0</v>
      </c>
      <c r="D42" s="69">
        <v>286800000</v>
      </c>
      <c r="E42" s="67">
        <f t="shared" si="4"/>
        <v>42794</v>
      </c>
      <c r="F42" s="67">
        <v>42825</v>
      </c>
      <c r="G42" s="68">
        <f t="shared" si="5"/>
        <v>32</v>
      </c>
      <c r="H42" s="68">
        <v>90</v>
      </c>
      <c r="I42" s="70">
        <f t="shared" si="6"/>
        <v>286800000</v>
      </c>
      <c r="J42" s="73">
        <f t="shared" si="7"/>
        <v>101973333</v>
      </c>
      <c r="K42" s="76">
        <f>SUM(J36:J45)</f>
        <v>46996607554</v>
      </c>
      <c r="L42" s="71">
        <f>K42*1.6/100*90/365</f>
        <v>185411273.63769865</v>
      </c>
    </row>
    <row r="43" spans="2:14" ht="19.5" customHeight="1" thickBot="1">
      <c r="B43" s="67">
        <v>42795</v>
      </c>
      <c r="C43" s="68" t="s">
        <v>37</v>
      </c>
      <c r="D43" s="69">
        <v>-2114216000</v>
      </c>
      <c r="E43" s="67">
        <f t="shared" si="4"/>
        <v>42795</v>
      </c>
      <c r="F43" s="67">
        <v>42825</v>
      </c>
      <c r="G43" s="68">
        <f t="shared" si="5"/>
        <v>31</v>
      </c>
      <c r="H43" s="68">
        <v>90</v>
      </c>
      <c r="I43" s="70">
        <f t="shared" si="6"/>
        <v>-2114216000</v>
      </c>
      <c r="J43" s="73">
        <f t="shared" si="7"/>
        <v>-728229955</v>
      </c>
    </row>
    <row r="44" spans="2:14" ht="19.5" customHeight="1" thickBot="1">
      <c r="B44" s="67">
        <v>42819</v>
      </c>
      <c r="C44" s="68" t="s">
        <v>4</v>
      </c>
      <c r="D44" s="69">
        <v>277000000</v>
      </c>
      <c r="E44" s="67">
        <f t="shared" si="4"/>
        <v>42819</v>
      </c>
      <c r="F44" s="67">
        <v>42825</v>
      </c>
      <c r="G44" s="68">
        <f t="shared" si="5"/>
        <v>7</v>
      </c>
      <c r="H44" s="68">
        <v>90</v>
      </c>
      <c r="I44" s="70">
        <f t="shared" si="6"/>
        <v>277000000</v>
      </c>
      <c r="J44" s="73">
        <f t="shared" si="7"/>
        <v>21544444</v>
      </c>
      <c r="K44" s="89"/>
      <c r="L44" s="90"/>
      <c r="M44" s="90"/>
      <c r="N44" s="91"/>
    </row>
    <row r="45" spans="2:14" ht="19.5" customHeight="1">
      <c r="B45" s="67">
        <v>42824</v>
      </c>
      <c r="C45" s="68" t="s">
        <v>0</v>
      </c>
      <c r="D45" s="69">
        <v>316600000</v>
      </c>
      <c r="E45" s="67">
        <f t="shared" si="4"/>
        <v>42824</v>
      </c>
      <c r="F45" s="67">
        <v>42825</v>
      </c>
      <c r="G45" s="68">
        <f t="shared" si="5"/>
        <v>2</v>
      </c>
      <c r="H45" s="68">
        <v>90</v>
      </c>
      <c r="I45" s="70">
        <f t="shared" si="6"/>
        <v>316600000</v>
      </c>
      <c r="J45" s="73">
        <f t="shared" si="7"/>
        <v>7035555</v>
      </c>
      <c r="K45" s="59"/>
      <c r="L45" s="60"/>
      <c r="M45" s="60"/>
      <c r="N45" s="61"/>
    </row>
    <row r="46" spans="2:14" ht="19.5" customHeight="1" thickBot="1">
      <c r="B46" s="57"/>
      <c r="D46" s="58">
        <f>SUM(D36:D45)</f>
        <v>46538070491</v>
      </c>
      <c r="E46" s="57"/>
      <c r="F46" s="57"/>
      <c r="I46" s="52">
        <f>SUM(I36:I45)</f>
        <v>46538070400</v>
      </c>
      <c r="J46" s="71">
        <f>SUM(J36:J45)</f>
        <v>46996607554</v>
      </c>
      <c r="K46" s="62"/>
      <c r="L46" s="56"/>
      <c r="M46" s="56"/>
      <c r="N46" s="64"/>
    </row>
    <row r="47" spans="2:14" ht="19.5" customHeight="1" thickBot="1">
      <c r="B47" s="57"/>
      <c r="D47" s="58"/>
      <c r="E47" s="57"/>
      <c r="F47" s="57"/>
      <c r="K47" s="62"/>
      <c r="L47" s="56"/>
      <c r="M47" s="56"/>
      <c r="N47" s="64"/>
    </row>
    <row r="48" spans="2:14" ht="19.5" customHeight="1">
      <c r="B48" s="57"/>
      <c r="D48" s="58"/>
      <c r="E48" s="57"/>
      <c r="F48" s="57"/>
    </row>
    <row r="49" spans="1:14" ht="19.5" customHeight="1">
      <c r="A49" s="53" t="s">
        <v>29</v>
      </c>
      <c r="B49" s="57">
        <v>42826</v>
      </c>
      <c r="C49" s="53" t="s">
        <v>5</v>
      </c>
      <c r="D49" s="58">
        <f>D47+N47</f>
        <v>0</v>
      </c>
      <c r="E49" s="57">
        <f t="shared" ref="E49:E61" si="8">B49</f>
        <v>42826</v>
      </c>
      <c r="F49" s="57">
        <v>43190</v>
      </c>
      <c r="G49" s="53">
        <f t="shared" ref="G49:G61" si="9">F49-B49+1</f>
        <v>365</v>
      </c>
      <c r="H49" s="53">
        <v>365</v>
      </c>
      <c r="I49" s="52">
        <f t="shared" ref="I49:I61" si="10">ROUNDDOWN(D49/100,0)*100</f>
        <v>0</v>
      </c>
      <c r="J49" s="71">
        <f t="shared" ref="J49:J61" si="11">ROUNDDOWN(I49*G49/H49,0)</f>
        <v>0</v>
      </c>
    </row>
    <row r="50" spans="1:14" ht="19.5" customHeight="1">
      <c r="B50" s="57">
        <v>42850</v>
      </c>
      <c r="C50" s="53" t="s">
        <v>4</v>
      </c>
      <c r="D50" s="58">
        <v>0</v>
      </c>
      <c r="E50" s="57">
        <f t="shared" si="8"/>
        <v>42850</v>
      </c>
      <c r="F50" s="57">
        <v>43190</v>
      </c>
      <c r="G50" s="53">
        <f t="shared" si="9"/>
        <v>341</v>
      </c>
      <c r="H50" s="53">
        <v>365</v>
      </c>
      <c r="I50" s="52">
        <f t="shared" si="10"/>
        <v>0</v>
      </c>
      <c r="J50" s="71">
        <f t="shared" si="11"/>
        <v>0</v>
      </c>
    </row>
    <row r="51" spans="1:14" ht="19.5" customHeight="1">
      <c r="B51" s="57">
        <v>42880</v>
      </c>
      <c r="C51" s="53" t="s">
        <v>4</v>
      </c>
      <c r="D51" s="58">
        <v>0</v>
      </c>
      <c r="E51" s="57">
        <f t="shared" si="8"/>
        <v>42880</v>
      </c>
      <c r="F51" s="57">
        <v>43190</v>
      </c>
      <c r="G51" s="53">
        <f t="shared" si="9"/>
        <v>311</v>
      </c>
      <c r="H51" s="53">
        <v>365</v>
      </c>
      <c r="I51" s="52">
        <f t="shared" si="10"/>
        <v>0</v>
      </c>
      <c r="J51" s="71">
        <f t="shared" si="11"/>
        <v>0</v>
      </c>
    </row>
    <row r="52" spans="1:14" ht="19.5" customHeight="1">
      <c r="B52" s="57">
        <v>42911</v>
      </c>
      <c r="C52" s="53" t="s">
        <v>4</v>
      </c>
      <c r="D52" s="58">
        <v>0</v>
      </c>
      <c r="E52" s="57">
        <f t="shared" si="8"/>
        <v>42911</v>
      </c>
      <c r="F52" s="57">
        <v>43190</v>
      </c>
      <c r="G52" s="53">
        <f t="shared" si="9"/>
        <v>280</v>
      </c>
      <c r="H52" s="53">
        <v>365</v>
      </c>
      <c r="I52" s="52">
        <f t="shared" si="10"/>
        <v>0</v>
      </c>
      <c r="J52" s="71">
        <f t="shared" si="11"/>
        <v>0</v>
      </c>
    </row>
    <row r="53" spans="1:14" ht="19.5" customHeight="1">
      <c r="B53" s="57">
        <v>42941</v>
      </c>
      <c r="C53" s="53" t="s">
        <v>4</v>
      </c>
      <c r="D53" s="58">
        <v>0</v>
      </c>
      <c r="E53" s="57">
        <f t="shared" si="8"/>
        <v>42941</v>
      </c>
      <c r="F53" s="57">
        <v>43190</v>
      </c>
      <c r="G53" s="53">
        <f t="shared" si="9"/>
        <v>250</v>
      </c>
      <c r="H53" s="53">
        <v>365</v>
      </c>
      <c r="I53" s="52">
        <f t="shared" si="10"/>
        <v>0</v>
      </c>
      <c r="J53" s="71">
        <f t="shared" si="11"/>
        <v>0</v>
      </c>
    </row>
    <row r="54" spans="1:14" ht="19.5" customHeight="1">
      <c r="B54" s="57">
        <v>42972</v>
      </c>
      <c r="C54" s="53" t="s">
        <v>4</v>
      </c>
      <c r="D54" s="58">
        <v>0</v>
      </c>
      <c r="E54" s="57">
        <f t="shared" si="8"/>
        <v>42972</v>
      </c>
      <c r="F54" s="57">
        <v>43190</v>
      </c>
      <c r="G54" s="53">
        <f t="shared" si="9"/>
        <v>219</v>
      </c>
      <c r="H54" s="53">
        <v>365</v>
      </c>
      <c r="I54" s="52">
        <f t="shared" si="10"/>
        <v>0</v>
      </c>
      <c r="J54" s="71">
        <f t="shared" si="11"/>
        <v>0</v>
      </c>
    </row>
    <row r="55" spans="1:14" ht="19.5" customHeight="1">
      <c r="B55" s="57">
        <v>43003</v>
      </c>
      <c r="C55" s="53" t="s">
        <v>4</v>
      </c>
      <c r="D55" s="58">
        <v>0</v>
      </c>
      <c r="E55" s="57">
        <f t="shared" si="8"/>
        <v>43003</v>
      </c>
      <c r="F55" s="57">
        <v>43190</v>
      </c>
      <c r="G55" s="53">
        <f t="shared" si="9"/>
        <v>188</v>
      </c>
      <c r="H55" s="53">
        <v>365</v>
      </c>
      <c r="I55" s="52">
        <f t="shared" si="10"/>
        <v>0</v>
      </c>
      <c r="J55" s="71">
        <f t="shared" si="11"/>
        <v>0</v>
      </c>
    </row>
    <row r="56" spans="1:14" ht="19.5" customHeight="1">
      <c r="B56" s="57">
        <v>43033</v>
      </c>
      <c r="C56" s="53" t="s">
        <v>4</v>
      </c>
      <c r="D56" s="58">
        <v>0</v>
      </c>
      <c r="E56" s="57">
        <f t="shared" si="8"/>
        <v>43033</v>
      </c>
      <c r="F56" s="57">
        <v>43190</v>
      </c>
      <c r="G56" s="53">
        <f t="shared" si="9"/>
        <v>158</v>
      </c>
      <c r="H56" s="53">
        <v>365</v>
      </c>
      <c r="I56" s="52">
        <f t="shared" si="10"/>
        <v>0</v>
      </c>
      <c r="J56" s="71">
        <f t="shared" si="11"/>
        <v>0</v>
      </c>
    </row>
    <row r="57" spans="1:14" ht="19.5" customHeight="1">
      <c r="B57" s="57">
        <v>43064</v>
      </c>
      <c r="C57" s="53" t="s">
        <v>4</v>
      </c>
      <c r="D57" s="58">
        <v>0</v>
      </c>
      <c r="E57" s="57">
        <f t="shared" si="8"/>
        <v>43064</v>
      </c>
      <c r="F57" s="57">
        <v>43190</v>
      </c>
      <c r="G57" s="53">
        <f t="shared" si="9"/>
        <v>127</v>
      </c>
      <c r="H57" s="53">
        <v>365</v>
      </c>
      <c r="I57" s="52">
        <f t="shared" si="10"/>
        <v>0</v>
      </c>
      <c r="J57" s="71">
        <f t="shared" si="11"/>
        <v>0</v>
      </c>
    </row>
    <row r="58" spans="1:14" ht="19.5" customHeight="1" thickBot="1">
      <c r="B58" s="57">
        <v>43094</v>
      </c>
      <c r="C58" s="53" t="s">
        <v>4</v>
      </c>
      <c r="D58" s="58">
        <v>0</v>
      </c>
      <c r="E58" s="57">
        <f t="shared" si="8"/>
        <v>43094</v>
      </c>
      <c r="F58" s="57">
        <v>43190</v>
      </c>
      <c r="G58" s="53">
        <f t="shared" si="9"/>
        <v>97</v>
      </c>
      <c r="H58" s="53">
        <v>365</v>
      </c>
      <c r="I58" s="52">
        <f t="shared" si="10"/>
        <v>0</v>
      </c>
      <c r="J58" s="71">
        <f t="shared" si="11"/>
        <v>0</v>
      </c>
    </row>
    <row r="59" spans="1:14" ht="19.5" customHeight="1" thickBot="1">
      <c r="B59" s="57">
        <v>43125</v>
      </c>
      <c r="C59" s="53" t="s">
        <v>4</v>
      </c>
      <c r="D59" s="58">
        <v>0</v>
      </c>
      <c r="E59" s="57">
        <f t="shared" si="8"/>
        <v>43125</v>
      </c>
      <c r="F59" s="57">
        <v>43190</v>
      </c>
      <c r="G59" s="53">
        <f t="shared" si="9"/>
        <v>66</v>
      </c>
      <c r="H59" s="53">
        <v>365</v>
      </c>
      <c r="I59" s="52">
        <f t="shared" si="10"/>
        <v>0</v>
      </c>
      <c r="J59" s="71">
        <f t="shared" si="11"/>
        <v>0</v>
      </c>
      <c r="K59" s="94" t="s">
        <v>15</v>
      </c>
      <c r="L59" s="95"/>
      <c r="M59" s="95"/>
      <c r="N59" s="96"/>
    </row>
    <row r="60" spans="1:14" ht="19.5" customHeight="1">
      <c r="B60" s="57">
        <v>43156</v>
      </c>
      <c r="C60" s="53" t="s">
        <v>4</v>
      </c>
      <c r="D60" s="58">
        <v>0</v>
      </c>
      <c r="E60" s="57">
        <f t="shared" si="8"/>
        <v>43156</v>
      </c>
      <c r="F60" s="57">
        <v>43190</v>
      </c>
      <c r="G60" s="53">
        <f t="shared" si="9"/>
        <v>35</v>
      </c>
      <c r="H60" s="53">
        <v>365</v>
      </c>
      <c r="I60" s="52">
        <f t="shared" si="10"/>
        <v>0</v>
      </c>
      <c r="J60" s="71">
        <f t="shared" si="11"/>
        <v>0</v>
      </c>
      <c r="K60" s="59" t="s">
        <v>11</v>
      </c>
      <c r="L60" s="60" t="s">
        <v>12</v>
      </c>
      <c r="M60" s="60" t="s">
        <v>13</v>
      </c>
      <c r="N60" s="61" t="s">
        <v>14</v>
      </c>
    </row>
    <row r="61" spans="1:14" ht="19.5" customHeight="1" thickBot="1">
      <c r="B61" s="57">
        <v>43184</v>
      </c>
      <c r="C61" s="53" t="s">
        <v>4</v>
      </c>
      <c r="D61" s="58">
        <v>0</v>
      </c>
      <c r="E61" s="57">
        <f t="shared" si="8"/>
        <v>43184</v>
      </c>
      <c r="F61" s="57">
        <v>43190</v>
      </c>
      <c r="G61" s="53">
        <f t="shared" si="9"/>
        <v>7</v>
      </c>
      <c r="H61" s="53">
        <v>365</v>
      </c>
      <c r="I61" s="52">
        <f t="shared" si="10"/>
        <v>0</v>
      </c>
      <c r="J61" s="71">
        <f t="shared" si="11"/>
        <v>0</v>
      </c>
      <c r="K61" s="62">
        <f>ROUNDDOWN(J62*1.6/100,0)</f>
        <v>0</v>
      </c>
      <c r="L61" s="63">
        <f>ROUNDDOWN(K61*0.15315,0)</f>
        <v>0</v>
      </c>
      <c r="M61" s="56">
        <f>ROUNDDOWN(K61*0.05,0)</f>
        <v>0</v>
      </c>
      <c r="N61" s="64">
        <f>K61-L61-M61</f>
        <v>0</v>
      </c>
    </row>
    <row r="62" spans="1:14" ht="19.5" customHeight="1">
      <c r="D62" s="58">
        <f>SUM(D49:D61)</f>
        <v>0</v>
      </c>
      <c r="J62" s="71">
        <f>SUM(J49:J61)</f>
        <v>0</v>
      </c>
      <c r="L62" s="53" t="s">
        <v>16</v>
      </c>
    </row>
    <row r="63" spans="1:14" ht="19.5" customHeight="1">
      <c r="D63" s="58"/>
    </row>
    <row r="64" spans="1:14" ht="19.5" customHeight="1">
      <c r="A64" s="53" t="s">
        <v>30</v>
      </c>
      <c r="B64" s="57">
        <v>43191</v>
      </c>
      <c r="C64" s="53" t="s">
        <v>5</v>
      </c>
      <c r="D64" s="58">
        <f>D62+N61</f>
        <v>0</v>
      </c>
      <c r="E64" s="57">
        <f t="shared" ref="E64:E76" si="12">B64</f>
        <v>43191</v>
      </c>
      <c r="F64" s="57">
        <v>43555</v>
      </c>
      <c r="G64" s="53">
        <f t="shared" ref="G64:G76" si="13">F64-B64+1</f>
        <v>365</v>
      </c>
      <c r="H64" s="53">
        <v>365</v>
      </c>
      <c r="I64" s="52">
        <f t="shared" ref="I64:I76" si="14">ROUNDDOWN(D64/100,0)*100</f>
        <v>0</v>
      </c>
      <c r="J64" s="71">
        <f t="shared" ref="J64:J76" si="15">ROUNDDOWN(I64*G64/H64,0)</f>
        <v>0</v>
      </c>
    </row>
    <row r="65" spans="1:14" ht="19.5" customHeight="1">
      <c r="B65" s="57">
        <v>43215</v>
      </c>
      <c r="C65" s="53" t="s">
        <v>4</v>
      </c>
      <c r="D65" s="58">
        <v>0</v>
      </c>
      <c r="E65" s="57">
        <f t="shared" si="12"/>
        <v>43215</v>
      </c>
      <c r="F65" s="57">
        <v>43555</v>
      </c>
      <c r="G65" s="53">
        <f t="shared" si="13"/>
        <v>341</v>
      </c>
      <c r="H65" s="53">
        <v>365</v>
      </c>
      <c r="I65" s="52">
        <f t="shared" si="14"/>
        <v>0</v>
      </c>
      <c r="J65" s="71">
        <f t="shared" si="15"/>
        <v>0</v>
      </c>
    </row>
    <row r="66" spans="1:14" ht="19.5" customHeight="1">
      <c r="B66" s="57">
        <v>43245</v>
      </c>
      <c r="C66" s="53" t="s">
        <v>4</v>
      </c>
      <c r="D66" s="58">
        <v>0</v>
      </c>
      <c r="E66" s="57">
        <f t="shared" si="12"/>
        <v>43245</v>
      </c>
      <c r="F66" s="57">
        <v>43555</v>
      </c>
      <c r="G66" s="53">
        <f t="shared" si="13"/>
        <v>311</v>
      </c>
      <c r="H66" s="53">
        <v>365</v>
      </c>
      <c r="I66" s="52">
        <f t="shared" si="14"/>
        <v>0</v>
      </c>
      <c r="J66" s="71">
        <f t="shared" si="15"/>
        <v>0</v>
      </c>
    </row>
    <row r="67" spans="1:14" ht="19.5" customHeight="1">
      <c r="B67" s="57">
        <v>43276</v>
      </c>
      <c r="C67" s="53" t="s">
        <v>4</v>
      </c>
      <c r="D67" s="58">
        <v>0</v>
      </c>
      <c r="E67" s="57">
        <f t="shared" si="12"/>
        <v>43276</v>
      </c>
      <c r="F67" s="57">
        <v>43555</v>
      </c>
      <c r="G67" s="53">
        <f t="shared" si="13"/>
        <v>280</v>
      </c>
      <c r="H67" s="53">
        <v>365</v>
      </c>
      <c r="I67" s="52">
        <f t="shared" si="14"/>
        <v>0</v>
      </c>
      <c r="J67" s="71">
        <f t="shared" si="15"/>
        <v>0</v>
      </c>
    </row>
    <row r="68" spans="1:14" ht="19.5" customHeight="1">
      <c r="B68" s="57">
        <v>43306</v>
      </c>
      <c r="C68" s="53" t="s">
        <v>4</v>
      </c>
      <c r="D68" s="58">
        <v>0</v>
      </c>
      <c r="E68" s="57">
        <f t="shared" si="12"/>
        <v>43306</v>
      </c>
      <c r="F68" s="57">
        <v>43555</v>
      </c>
      <c r="G68" s="53">
        <f t="shared" si="13"/>
        <v>250</v>
      </c>
      <c r="H68" s="53">
        <v>365</v>
      </c>
      <c r="I68" s="52">
        <f t="shared" si="14"/>
        <v>0</v>
      </c>
      <c r="J68" s="71">
        <f t="shared" si="15"/>
        <v>0</v>
      </c>
    </row>
    <row r="69" spans="1:14" ht="19.5" customHeight="1">
      <c r="B69" s="57">
        <v>43337</v>
      </c>
      <c r="C69" s="53" t="s">
        <v>4</v>
      </c>
      <c r="D69" s="58">
        <v>0</v>
      </c>
      <c r="E69" s="57">
        <f t="shared" si="12"/>
        <v>43337</v>
      </c>
      <c r="F69" s="57">
        <v>43555</v>
      </c>
      <c r="G69" s="53">
        <f t="shared" si="13"/>
        <v>219</v>
      </c>
      <c r="H69" s="53">
        <v>365</v>
      </c>
      <c r="I69" s="52">
        <f t="shared" si="14"/>
        <v>0</v>
      </c>
      <c r="J69" s="71">
        <f t="shared" si="15"/>
        <v>0</v>
      </c>
    </row>
    <row r="70" spans="1:14" ht="19.5" customHeight="1" thickBot="1">
      <c r="B70" s="57">
        <v>43368</v>
      </c>
      <c r="C70" s="53" t="s">
        <v>4</v>
      </c>
      <c r="D70" s="58">
        <v>0</v>
      </c>
      <c r="E70" s="57">
        <f t="shared" si="12"/>
        <v>43368</v>
      </c>
      <c r="F70" s="57">
        <v>43555</v>
      </c>
      <c r="G70" s="53">
        <f t="shared" si="13"/>
        <v>188</v>
      </c>
      <c r="H70" s="53">
        <v>365</v>
      </c>
      <c r="I70" s="52">
        <f t="shared" si="14"/>
        <v>0</v>
      </c>
      <c r="J70" s="71">
        <f t="shared" si="15"/>
        <v>0</v>
      </c>
    </row>
    <row r="71" spans="1:14" ht="19.5" customHeight="1" thickBot="1">
      <c r="B71" s="57">
        <v>43398</v>
      </c>
      <c r="C71" s="53" t="s">
        <v>4</v>
      </c>
      <c r="D71" s="58">
        <v>0</v>
      </c>
      <c r="E71" s="57">
        <f t="shared" si="12"/>
        <v>43398</v>
      </c>
      <c r="F71" s="57">
        <v>43555</v>
      </c>
      <c r="G71" s="53">
        <f t="shared" si="13"/>
        <v>158</v>
      </c>
      <c r="H71" s="53">
        <v>365</v>
      </c>
      <c r="I71" s="52">
        <f t="shared" si="14"/>
        <v>0</v>
      </c>
      <c r="J71" s="71">
        <f t="shared" si="15"/>
        <v>0</v>
      </c>
      <c r="K71" s="94" t="s">
        <v>15</v>
      </c>
      <c r="L71" s="95"/>
      <c r="M71" s="95"/>
      <c r="N71" s="96"/>
    </row>
    <row r="72" spans="1:14" ht="19.5" customHeight="1">
      <c r="B72" s="57">
        <v>43429</v>
      </c>
      <c r="C72" s="53" t="s">
        <v>4</v>
      </c>
      <c r="D72" s="58">
        <v>0</v>
      </c>
      <c r="E72" s="57">
        <f t="shared" si="12"/>
        <v>43429</v>
      </c>
      <c r="F72" s="57">
        <v>43555</v>
      </c>
      <c r="G72" s="53">
        <f t="shared" si="13"/>
        <v>127</v>
      </c>
      <c r="H72" s="53">
        <v>365</v>
      </c>
      <c r="I72" s="52">
        <f t="shared" si="14"/>
        <v>0</v>
      </c>
      <c r="J72" s="71">
        <f t="shared" si="15"/>
        <v>0</v>
      </c>
      <c r="K72" s="59" t="s">
        <v>11</v>
      </c>
      <c r="L72" s="60" t="s">
        <v>12</v>
      </c>
      <c r="M72" s="60" t="s">
        <v>13</v>
      </c>
      <c r="N72" s="61" t="s">
        <v>14</v>
      </c>
    </row>
    <row r="73" spans="1:14" ht="19.5" customHeight="1" thickBot="1">
      <c r="B73" s="57">
        <v>43459</v>
      </c>
      <c r="C73" s="53" t="s">
        <v>4</v>
      </c>
      <c r="D73" s="58">
        <v>0</v>
      </c>
      <c r="E73" s="57">
        <f t="shared" si="12"/>
        <v>43459</v>
      </c>
      <c r="F73" s="57">
        <v>43555</v>
      </c>
      <c r="G73" s="53">
        <f t="shared" si="13"/>
        <v>97</v>
      </c>
      <c r="H73" s="53">
        <v>365</v>
      </c>
      <c r="I73" s="52">
        <f t="shared" si="14"/>
        <v>0</v>
      </c>
      <c r="J73" s="71">
        <f t="shared" si="15"/>
        <v>0</v>
      </c>
      <c r="K73" s="62">
        <f>ROUNDDOWN(J77*1.6/100,0)</f>
        <v>0</v>
      </c>
      <c r="L73" s="63">
        <f>ROUNDDOWN(K73*0.15315,0)</f>
        <v>0</v>
      </c>
      <c r="M73" s="56">
        <f>ROUNDDOWN(K73*0.05,0)</f>
        <v>0</v>
      </c>
      <c r="N73" s="64">
        <f>K73-L73-M73</f>
        <v>0</v>
      </c>
    </row>
    <row r="74" spans="1:14" ht="19.5" customHeight="1">
      <c r="B74" s="57">
        <v>43490</v>
      </c>
      <c r="C74" s="53" t="s">
        <v>4</v>
      </c>
      <c r="D74" s="58">
        <v>0</v>
      </c>
      <c r="E74" s="57">
        <f t="shared" si="12"/>
        <v>43490</v>
      </c>
      <c r="F74" s="57">
        <v>43555</v>
      </c>
      <c r="G74" s="53">
        <f t="shared" si="13"/>
        <v>66</v>
      </c>
      <c r="H74" s="53">
        <v>365</v>
      </c>
      <c r="I74" s="52">
        <f t="shared" si="14"/>
        <v>0</v>
      </c>
      <c r="J74" s="71">
        <f t="shared" si="15"/>
        <v>0</v>
      </c>
      <c r="L74" s="53" t="s">
        <v>16</v>
      </c>
    </row>
    <row r="75" spans="1:14" ht="19.5" customHeight="1">
      <c r="B75" s="57">
        <v>43521</v>
      </c>
      <c r="C75" s="53" t="s">
        <v>4</v>
      </c>
      <c r="D75" s="58">
        <v>0</v>
      </c>
      <c r="E75" s="57">
        <f t="shared" si="12"/>
        <v>43521</v>
      </c>
      <c r="F75" s="57">
        <v>43555</v>
      </c>
      <c r="G75" s="53">
        <f t="shared" si="13"/>
        <v>35</v>
      </c>
      <c r="H75" s="53">
        <v>365</v>
      </c>
      <c r="I75" s="52">
        <f t="shared" si="14"/>
        <v>0</v>
      </c>
      <c r="J75" s="71">
        <f t="shared" si="15"/>
        <v>0</v>
      </c>
    </row>
    <row r="76" spans="1:14" ht="19.5" customHeight="1">
      <c r="B76" s="57">
        <v>43549</v>
      </c>
      <c r="C76" s="53" t="s">
        <v>4</v>
      </c>
      <c r="D76" s="58">
        <v>0</v>
      </c>
      <c r="E76" s="57">
        <f t="shared" si="12"/>
        <v>43549</v>
      </c>
      <c r="F76" s="57">
        <v>43555</v>
      </c>
      <c r="G76" s="53">
        <f t="shared" si="13"/>
        <v>7</v>
      </c>
      <c r="H76" s="53">
        <v>365</v>
      </c>
      <c r="I76" s="52">
        <f t="shared" si="14"/>
        <v>0</v>
      </c>
      <c r="J76" s="71">
        <f t="shared" si="15"/>
        <v>0</v>
      </c>
    </row>
    <row r="77" spans="1:14" ht="19.5" customHeight="1">
      <c r="D77" s="58">
        <f>SUM(D64:D76)</f>
        <v>0</v>
      </c>
      <c r="J77" s="71">
        <f>SUM(J64:J76)</f>
        <v>0</v>
      </c>
    </row>
    <row r="78" spans="1:14" ht="19.5" customHeight="1">
      <c r="A78" s="53" t="s">
        <v>31</v>
      </c>
      <c r="B78" s="57">
        <v>43556</v>
      </c>
      <c r="C78" s="53" t="s">
        <v>5</v>
      </c>
      <c r="D78" s="58">
        <f>D62+N61</f>
        <v>0</v>
      </c>
      <c r="E78" s="57">
        <f t="shared" ref="E78:E90" si="16">B78</f>
        <v>43556</v>
      </c>
      <c r="F78" s="57">
        <v>43921</v>
      </c>
      <c r="G78" s="53">
        <f t="shared" ref="G78:G90" si="17">F78-B78+1</f>
        <v>366</v>
      </c>
      <c r="H78" s="65">
        <v>366</v>
      </c>
      <c r="I78" s="52">
        <f t="shared" ref="I78:I90" si="18">ROUNDDOWN(D78/100,0)*100</f>
        <v>0</v>
      </c>
      <c r="J78" s="71">
        <f t="shared" ref="J78:J90" si="19">ROUNDDOWN(I78*G78/H78,0)</f>
        <v>0</v>
      </c>
    </row>
    <row r="79" spans="1:14" ht="19.5" customHeight="1">
      <c r="B79" s="57">
        <v>43580</v>
      </c>
      <c r="C79" s="53" t="s">
        <v>4</v>
      </c>
      <c r="D79" s="58">
        <f>D78+N74</f>
        <v>0</v>
      </c>
      <c r="E79" s="57">
        <f t="shared" si="16"/>
        <v>43580</v>
      </c>
      <c r="F79" s="57">
        <v>43921</v>
      </c>
      <c r="G79" s="53">
        <f t="shared" si="17"/>
        <v>342</v>
      </c>
      <c r="H79" s="65">
        <v>366</v>
      </c>
      <c r="I79" s="52">
        <f t="shared" si="18"/>
        <v>0</v>
      </c>
      <c r="J79" s="71">
        <f t="shared" si="19"/>
        <v>0</v>
      </c>
    </row>
    <row r="80" spans="1:14" ht="19.5" customHeight="1">
      <c r="B80" s="57">
        <v>43610</v>
      </c>
      <c r="C80" s="53" t="s">
        <v>4</v>
      </c>
      <c r="D80" s="58">
        <f>D79+N75</f>
        <v>0</v>
      </c>
      <c r="E80" s="57">
        <f t="shared" si="16"/>
        <v>43610</v>
      </c>
      <c r="F80" s="57">
        <v>43921</v>
      </c>
      <c r="G80" s="53">
        <f t="shared" si="17"/>
        <v>312</v>
      </c>
      <c r="H80" s="65">
        <v>366</v>
      </c>
      <c r="I80" s="52">
        <f t="shared" si="18"/>
        <v>0</v>
      </c>
      <c r="J80" s="71">
        <f t="shared" si="19"/>
        <v>0</v>
      </c>
      <c r="K80" s="98" t="s">
        <v>32</v>
      </c>
      <c r="L80" s="98"/>
      <c r="M80" s="98"/>
      <c r="N80" s="98"/>
    </row>
    <row r="81" spans="1:14" ht="19.5" customHeight="1">
      <c r="B81" s="57">
        <v>43641</v>
      </c>
      <c r="C81" s="53" t="s">
        <v>4</v>
      </c>
      <c r="D81" s="58">
        <f>D80+N80</f>
        <v>0</v>
      </c>
      <c r="E81" s="57">
        <f t="shared" si="16"/>
        <v>43641</v>
      </c>
      <c r="F81" s="57">
        <v>43921</v>
      </c>
      <c r="G81" s="53">
        <f t="shared" si="17"/>
        <v>281</v>
      </c>
      <c r="H81" s="65">
        <v>366</v>
      </c>
      <c r="I81" s="52">
        <f t="shared" si="18"/>
        <v>0</v>
      </c>
      <c r="J81" s="71">
        <f t="shared" si="19"/>
        <v>0</v>
      </c>
    </row>
    <row r="82" spans="1:14" ht="19.5" customHeight="1">
      <c r="B82" s="57">
        <v>43671</v>
      </c>
      <c r="C82" s="53" t="s">
        <v>4</v>
      </c>
      <c r="D82" s="58">
        <f>D81+N77</f>
        <v>0</v>
      </c>
      <c r="E82" s="57">
        <f t="shared" si="16"/>
        <v>43671</v>
      </c>
      <c r="F82" s="57">
        <v>43921</v>
      </c>
      <c r="G82" s="53">
        <f t="shared" si="17"/>
        <v>251</v>
      </c>
      <c r="H82" s="65">
        <v>366</v>
      </c>
      <c r="I82" s="52">
        <f t="shared" si="18"/>
        <v>0</v>
      </c>
      <c r="J82" s="71">
        <f t="shared" si="19"/>
        <v>0</v>
      </c>
    </row>
    <row r="83" spans="1:14" ht="19.5" customHeight="1">
      <c r="B83" s="57">
        <v>43702</v>
      </c>
      <c r="C83" s="53" t="s">
        <v>4</v>
      </c>
      <c r="D83" s="58">
        <f>D82+N78</f>
        <v>0</v>
      </c>
      <c r="E83" s="57">
        <f t="shared" si="16"/>
        <v>43702</v>
      </c>
      <c r="F83" s="57">
        <v>43921</v>
      </c>
      <c r="G83" s="53">
        <f t="shared" si="17"/>
        <v>220</v>
      </c>
      <c r="H83" s="65">
        <v>366</v>
      </c>
      <c r="I83" s="52">
        <f t="shared" si="18"/>
        <v>0</v>
      </c>
      <c r="J83" s="71">
        <f t="shared" si="19"/>
        <v>0</v>
      </c>
    </row>
    <row r="84" spans="1:14" ht="19.5" customHeight="1" thickBot="1">
      <c r="B84" s="57">
        <v>43733</v>
      </c>
      <c r="C84" s="53" t="s">
        <v>4</v>
      </c>
      <c r="D84" s="58">
        <f>D83+N79</f>
        <v>0</v>
      </c>
      <c r="E84" s="57">
        <f t="shared" si="16"/>
        <v>43733</v>
      </c>
      <c r="F84" s="57">
        <v>43921</v>
      </c>
      <c r="G84" s="53">
        <f t="shared" si="17"/>
        <v>189</v>
      </c>
      <c r="H84" s="65">
        <v>366</v>
      </c>
      <c r="I84" s="52">
        <f t="shared" si="18"/>
        <v>0</v>
      </c>
      <c r="J84" s="71">
        <f t="shared" si="19"/>
        <v>0</v>
      </c>
    </row>
    <row r="85" spans="1:14" ht="19.5" customHeight="1" thickBot="1">
      <c r="B85" s="57">
        <v>43763</v>
      </c>
      <c r="C85" s="53" t="s">
        <v>4</v>
      </c>
      <c r="D85" s="58">
        <v>0</v>
      </c>
      <c r="E85" s="57">
        <f t="shared" si="16"/>
        <v>43763</v>
      </c>
      <c r="F85" s="57">
        <v>43921</v>
      </c>
      <c r="G85" s="53">
        <f t="shared" si="17"/>
        <v>159</v>
      </c>
      <c r="H85" s="65">
        <v>366</v>
      </c>
      <c r="I85" s="52">
        <f t="shared" si="18"/>
        <v>0</v>
      </c>
      <c r="J85" s="71">
        <f t="shared" si="19"/>
        <v>0</v>
      </c>
      <c r="K85" s="94" t="s">
        <v>15</v>
      </c>
      <c r="L85" s="95"/>
      <c r="M85" s="95"/>
      <c r="N85" s="96"/>
    </row>
    <row r="86" spans="1:14" ht="19.5" customHeight="1">
      <c r="B86" s="57">
        <v>43794</v>
      </c>
      <c r="C86" s="53" t="s">
        <v>4</v>
      </c>
      <c r="D86" s="58">
        <v>0</v>
      </c>
      <c r="E86" s="57">
        <f t="shared" si="16"/>
        <v>43794</v>
      </c>
      <c r="F86" s="57">
        <v>43921</v>
      </c>
      <c r="G86" s="53">
        <f t="shared" si="17"/>
        <v>128</v>
      </c>
      <c r="H86" s="65">
        <v>366</v>
      </c>
      <c r="I86" s="52">
        <f t="shared" si="18"/>
        <v>0</v>
      </c>
      <c r="J86" s="71">
        <f t="shared" si="19"/>
        <v>0</v>
      </c>
      <c r="K86" s="59" t="s">
        <v>11</v>
      </c>
      <c r="L86" s="60" t="s">
        <v>12</v>
      </c>
      <c r="M86" s="60" t="s">
        <v>13</v>
      </c>
      <c r="N86" s="61" t="s">
        <v>14</v>
      </c>
    </row>
    <row r="87" spans="1:14" ht="19.5" customHeight="1" thickBot="1">
      <c r="B87" s="57">
        <v>43824</v>
      </c>
      <c r="C87" s="53" t="s">
        <v>4</v>
      </c>
      <c r="D87" s="58">
        <v>0</v>
      </c>
      <c r="E87" s="57">
        <f t="shared" si="16"/>
        <v>43824</v>
      </c>
      <c r="F87" s="57">
        <v>43921</v>
      </c>
      <c r="G87" s="53">
        <f t="shared" si="17"/>
        <v>98</v>
      </c>
      <c r="H87" s="65">
        <v>366</v>
      </c>
      <c r="I87" s="52">
        <f t="shared" si="18"/>
        <v>0</v>
      </c>
      <c r="J87" s="71">
        <f t="shared" si="19"/>
        <v>0</v>
      </c>
      <c r="K87" s="62">
        <f>ROUNDDOWN(J91*1.6/100,0)</f>
        <v>0</v>
      </c>
      <c r="L87" s="63">
        <f>ROUNDDOWN(K87*0.15315,0)</f>
        <v>0</v>
      </c>
      <c r="M87" s="56">
        <f>ROUNDDOWN(K87*0.05,0)</f>
        <v>0</v>
      </c>
      <c r="N87" s="64">
        <f>K87-L87-M87</f>
        <v>0</v>
      </c>
    </row>
    <row r="88" spans="1:14" ht="19.5" customHeight="1">
      <c r="B88" s="57">
        <v>43855</v>
      </c>
      <c r="C88" s="53" t="s">
        <v>4</v>
      </c>
      <c r="D88" s="58">
        <v>0</v>
      </c>
      <c r="E88" s="57">
        <f t="shared" si="16"/>
        <v>43855</v>
      </c>
      <c r="F88" s="57">
        <v>43921</v>
      </c>
      <c r="G88" s="53">
        <f t="shared" si="17"/>
        <v>67</v>
      </c>
      <c r="H88" s="65">
        <v>366</v>
      </c>
      <c r="I88" s="52">
        <f t="shared" si="18"/>
        <v>0</v>
      </c>
      <c r="J88" s="71">
        <f t="shared" si="19"/>
        <v>0</v>
      </c>
      <c r="L88" s="53" t="s">
        <v>16</v>
      </c>
    </row>
    <row r="89" spans="1:14" ht="19.5" customHeight="1">
      <c r="B89" s="57">
        <v>43886</v>
      </c>
      <c r="C89" s="53" t="s">
        <v>4</v>
      </c>
      <c r="D89" s="58">
        <v>0</v>
      </c>
      <c r="E89" s="57">
        <f t="shared" si="16"/>
        <v>43886</v>
      </c>
      <c r="F89" s="57">
        <v>43921</v>
      </c>
      <c r="G89" s="65">
        <f t="shared" si="17"/>
        <v>36</v>
      </c>
      <c r="H89" s="65">
        <v>366</v>
      </c>
      <c r="I89" s="52">
        <f t="shared" si="18"/>
        <v>0</v>
      </c>
      <c r="J89" s="71">
        <f t="shared" si="19"/>
        <v>0</v>
      </c>
    </row>
    <row r="90" spans="1:14" ht="19.5" customHeight="1">
      <c r="B90" s="57">
        <v>43915</v>
      </c>
      <c r="C90" s="53" t="s">
        <v>4</v>
      </c>
      <c r="D90" s="58">
        <v>0</v>
      </c>
      <c r="E90" s="57">
        <f t="shared" si="16"/>
        <v>43915</v>
      </c>
      <c r="F90" s="57">
        <v>43921</v>
      </c>
      <c r="G90" s="53">
        <f t="shared" si="17"/>
        <v>7</v>
      </c>
      <c r="H90" s="65">
        <v>366</v>
      </c>
      <c r="I90" s="52">
        <f t="shared" si="18"/>
        <v>0</v>
      </c>
      <c r="J90" s="71">
        <f t="shared" si="19"/>
        <v>0</v>
      </c>
    </row>
    <row r="91" spans="1:14" ht="19.5" customHeight="1">
      <c r="D91" s="58">
        <f>SUM(D78:D90)</f>
        <v>0</v>
      </c>
      <c r="J91" s="71">
        <f>SUM(J78:J90)</f>
        <v>0</v>
      </c>
    </row>
    <row r="92" spans="1:14" ht="19.5" customHeight="1">
      <c r="A92" s="53" t="s">
        <v>33</v>
      </c>
      <c r="B92" s="57">
        <v>43922</v>
      </c>
      <c r="C92" s="53" t="s">
        <v>5</v>
      </c>
      <c r="D92" s="58">
        <f>D91+N87</f>
        <v>0</v>
      </c>
      <c r="E92" s="57">
        <f t="shared" ref="E92:E104" si="20">B92</f>
        <v>43922</v>
      </c>
      <c r="F92" s="57">
        <v>44286</v>
      </c>
      <c r="G92" s="53">
        <f t="shared" ref="G92:G104" si="21">F92-B92+1</f>
        <v>365</v>
      </c>
      <c r="H92" s="53">
        <v>365</v>
      </c>
      <c r="I92" s="52">
        <f t="shared" ref="I92:I104" si="22">ROUNDDOWN(D92/100,0)*100</f>
        <v>0</v>
      </c>
      <c r="J92" s="71">
        <f t="shared" ref="J92:J104" si="23">ROUNDDOWN(I92*G92/H92,0)</f>
        <v>0</v>
      </c>
    </row>
    <row r="93" spans="1:14" ht="19.5" customHeight="1">
      <c r="B93" s="57">
        <v>43946</v>
      </c>
      <c r="C93" s="53" t="s">
        <v>4</v>
      </c>
      <c r="D93" s="58">
        <v>0</v>
      </c>
      <c r="E93" s="57">
        <f t="shared" si="20"/>
        <v>43946</v>
      </c>
      <c r="F93" s="57">
        <v>44286</v>
      </c>
      <c r="G93" s="53">
        <f t="shared" si="21"/>
        <v>341</v>
      </c>
      <c r="H93" s="53">
        <v>365</v>
      </c>
      <c r="I93" s="52">
        <f t="shared" si="22"/>
        <v>0</v>
      </c>
      <c r="J93" s="71">
        <f t="shared" si="23"/>
        <v>0</v>
      </c>
    </row>
    <row r="94" spans="1:14" ht="19.5" customHeight="1">
      <c r="B94" s="57">
        <v>43976</v>
      </c>
      <c r="C94" s="53" t="s">
        <v>4</v>
      </c>
      <c r="D94" s="58">
        <v>0</v>
      </c>
      <c r="E94" s="57">
        <f t="shared" si="20"/>
        <v>43976</v>
      </c>
      <c r="F94" s="57">
        <v>44286</v>
      </c>
      <c r="G94" s="53">
        <f t="shared" si="21"/>
        <v>311</v>
      </c>
      <c r="H94" s="53">
        <v>365</v>
      </c>
      <c r="I94" s="52">
        <f t="shared" si="22"/>
        <v>0</v>
      </c>
      <c r="J94" s="71">
        <f t="shared" si="23"/>
        <v>0</v>
      </c>
    </row>
    <row r="95" spans="1:14" ht="19.5" customHeight="1">
      <c r="B95" s="57">
        <v>44007</v>
      </c>
      <c r="C95" s="53" t="s">
        <v>4</v>
      </c>
      <c r="D95" s="58">
        <v>0</v>
      </c>
      <c r="E95" s="57">
        <f t="shared" si="20"/>
        <v>44007</v>
      </c>
      <c r="F95" s="57">
        <v>44286</v>
      </c>
      <c r="G95" s="53">
        <f t="shared" si="21"/>
        <v>280</v>
      </c>
      <c r="H95" s="53">
        <v>365</v>
      </c>
      <c r="I95" s="52">
        <f t="shared" si="22"/>
        <v>0</v>
      </c>
      <c r="J95" s="71">
        <f t="shared" si="23"/>
        <v>0</v>
      </c>
    </row>
    <row r="96" spans="1:14" ht="19.5" customHeight="1">
      <c r="B96" s="57">
        <v>44037</v>
      </c>
      <c r="C96" s="53" t="s">
        <v>4</v>
      </c>
      <c r="D96" s="58"/>
      <c r="E96" s="57">
        <f t="shared" si="20"/>
        <v>44037</v>
      </c>
      <c r="F96" s="57">
        <v>44286</v>
      </c>
      <c r="G96" s="53">
        <f t="shared" si="21"/>
        <v>250</v>
      </c>
      <c r="H96" s="53">
        <v>365</v>
      </c>
      <c r="I96" s="52">
        <f t="shared" si="22"/>
        <v>0</v>
      </c>
      <c r="J96" s="71">
        <f t="shared" si="23"/>
        <v>0</v>
      </c>
    </row>
    <row r="97" spans="1:14" ht="19.5" customHeight="1">
      <c r="B97" s="57">
        <v>44068</v>
      </c>
      <c r="C97" s="53" t="s">
        <v>4</v>
      </c>
      <c r="D97" s="58"/>
      <c r="E97" s="57">
        <f t="shared" si="20"/>
        <v>44068</v>
      </c>
      <c r="F97" s="57">
        <v>44286</v>
      </c>
      <c r="G97" s="53">
        <f t="shared" si="21"/>
        <v>219</v>
      </c>
      <c r="H97" s="53">
        <v>365</v>
      </c>
      <c r="I97" s="52">
        <f t="shared" si="22"/>
        <v>0</v>
      </c>
      <c r="J97" s="71">
        <f t="shared" si="23"/>
        <v>0</v>
      </c>
    </row>
    <row r="98" spans="1:14" ht="19.5" customHeight="1" thickBot="1">
      <c r="B98" s="57">
        <v>44099</v>
      </c>
      <c r="C98" s="53" t="s">
        <v>4</v>
      </c>
      <c r="D98" s="58">
        <v>0</v>
      </c>
      <c r="E98" s="57">
        <f t="shared" si="20"/>
        <v>44099</v>
      </c>
      <c r="F98" s="57">
        <v>44286</v>
      </c>
      <c r="G98" s="53">
        <f t="shared" si="21"/>
        <v>188</v>
      </c>
      <c r="H98" s="53">
        <v>365</v>
      </c>
      <c r="I98" s="52">
        <f t="shared" si="22"/>
        <v>0</v>
      </c>
      <c r="J98" s="71">
        <f t="shared" si="23"/>
        <v>0</v>
      </c>
    </row>
    <row r="99" spans="1:14" ht="19.5" customHeight="1" thickBot="1">
      <c r="B99" s="57">
        <v>44129</v>
      </c>
      <c r="C99" s="53" t="s">
        <v>4</v>
      </c>
      <c r="D99" s="58">
        <v>0</v>
      </c>
      <c r="E99" s="57">
        <f t="shared" si="20"/>
        <v>44129</v>
      </c>
      <c r="F99" s="57">
        <v>44286</v>
      </c>
      <c r="G99" s="53">
        <f t="shared" si="21"/>
        <v>158</v>
      </c>
      <c r="H99" s="53">
        <v>365</v>
      </c>
      <c r="I99" s="52">
        <f t="shared" si="22"/>
        <v>0</v>
      </c>
      <c r="J99" s="71">
        <f t="shared" si="23"/>
        <v>0</v>
      </c>
      <c r="K99" s="94" t="s">
        <v>15</v>
      </c>
      <c r="L99" s="95"/>
      <c r="M99" s="95"/>
      <c r="N99" s="96"/>
    </row>
    <row r="100" spans="1:14" ht="19.5" customHeight="1">
      <c r="B100" s="57">
        <v>44160</v>
      </c>
      <c r="C100" s="53" t="s">
        <v>4</v>
      </c>
      <c r="D100" s="58">
        <v>0</v>
      </c>
      <c r="E100" s="57">
        <f t="shared" si="20"/>
        <v>44160</v>
      </c>
      <c r="F100" s="57">
        <v>44286</v>
      </c>
      <c r="G100" s="53">
        <f t="shared" si="21"/>
        <v>127</v>
      </c>
      <c r="H100" s="53">
        <v>365</v>
      </c>
      <c r="I100" s="52">
        <f t="shared" si="22"/>
        <v>0</v>
      </c>
      <c r="J100" s="71">
        <f t="shared" si="23"/>
        <v>0</v>
      </c>
      <c r="K100" s="59" t="s">
        <v>11</v>
      </c>
      <c r="L100" s="60" t="s">
        <v>12</v>
      </c>
      <c r="M100" s="60" t="s">
        <v>13</v>
      </c>
      <c r="N100" s="61" t="s">
        <v>14</v>
      </c>
    </row>
    <row r="101" spans="1:14" ht="19.5" customHeight="1" thickBot="1">
      <c r="B101" s="57">
        <v>44190</v>
      </c>
      <c r="C101" s="53" t="s">
        <v>4</v>
      </c>
      <c r="D101" s="58">
        <v>0</v>
      </c>
      <c r="E101" s="57">
        <f t="shared" si="20"/>
        <v>44190</v>
      </c>
      <c r="F101" s="57">
        <v>44286</v>
      </c>
      <c r="G101" s="53">
        <f t="shared" si="21"/>
        <v>97</v>
      </c>
      <c r="H101" s="53">
        <v>365</v>
      </c>
      <c r="I101" s="52">
        <f t="shared" si="22"/>
        <v>0</v>
      </c>
      <c r="J101" s="71">
        <f t="shared" si="23"/>
        <v>0</v>
      </c>
      <c r="K101" s="62">
        <f>ROUNDDOWN(J105*1.6/100,0)</f>
        <v>0</v>
      </c>
      <c r="L101" s="63">
        <f>ROUNDDOWN(K101*0.15315,0)</f>
        <v>0</v>
      </c>
      <c r="M101" s="56">
        <f>ROUNDDOWN(K101*0.05,0)</f>
        <v>0</v>
      </c>
      <c r="N101" s="64">
        <f>K101-L101-M101</f>
        <v>0</v>
      </c>
    </row>
    <row r="102" spans="1:14" ht="19.5" customHeight="1">
      <c r="B102" s="57">
        <v>44221</v>
      </c>
      <c r="C102" s="53" t="s">
        <v>4</v>
      </c>
      <c r="D102" s="58">
        <v>0</v>
      </c>
      <c r="E102" s="57">
        <f t="shared" si="20"/>
        <v>44221</v>
      </c>
      <c r="F102" s="57">
        <v>44286</v>
      </c>
      <c r="G102" s="53">
        <f t="shared" si="21"/>
        <v>66</v>
      </c>
      <c r="H102" s="53">
        <v>365</v>
      </c>
      <c r="I102" s="52">
        <f t="shared" si="22"/>
        <v>0</v>
      </c>
      <c r="J102" s="71">
        <f t="shared" si="23"/>
        <v>0</v>
      </c>
      <c r="L102" s="53" t="s">
        <v>16</v>
      </c>
    </row>
    <row r="103" spans="1:14" ht="19.5" customHeight="1">
      <c r="B103" s="57">
        <v>44252</v>
      </c>
      <c r="C103" s="53" t="s">
        <v>4</v>
      </c>
      <c r="D103" s="58">
        <v>0</v>
      </c>
      <c r="E103" s="57">
        <f t="shared" si="20"/>
        <v>44252</v>
      </c>
      <c r="F103" s="57">
        <v>44286</v>
      </c>
      <c r="G103" s="53">
        <f t="shared" si="21"/>
        <v>35</v>
      </c>
      <c r="H103" s="53">
        <v>365</v>
      </c>
      <c r="I103" s="52">
        <f t="shared" si="22"/>
        <v>0</v>
      </c>
      <c r="J103" s="71">
        <f t="shared" si="23"/>
        <v>0</v>
      </c>
    </row>
    <row r="104" spans="1:14" ht="19.5" customHeight="1">
      <c r="B104" s="57">
        <v>44280</v>
      </c>
      <c r="C104" s="53" t="s">
        <v>4</v>
      </c>
      <c r="D104" s="58">
        <v>0</v>
      </c>
      <c r="E104" s="57">
        <f t="shared" si="20"/>
        <v>44280</v>
      </c>
      <c r="F104" s="57">
        <v>44286</v>
      </c>
      <c r="G104" s="53">
        <f t="shared" si="21"/>
        <v>7</v>
      </c>
      <c r="H104" s="53">
        <v>365</v>
      </c>
      <c r="I104" s="52">
        <f t="shared" si="22"/>
        <v>0</v>
      </c>
      <c r="J104" s="71">
        <f t="shared" si="23"/>
        <v>0</v>
      </c>
    </row>
    <row r="105" spans="1:14" ht="19.5" customHeight="1">
      <c r="D105" s="58">
        <f>SUM(D92:D104)</f>
        <v>0</v>
      </c>
      <c r="J105" s="71">
        <f>SUM(J92:J104)</f>
        <v>0</v>
      </c>
    </row>
    <row r="106" spans="1:14" ht="19.5" customHeight="1">
      <c r="A106" s="53" t="s">
        <v>34</v>
      </c>
      <c r="B106" s="57">
        <v>44287</v>
      </c>
      <c r="C106" s="53" t="s">
        <v>5</v>
      </c>
      <c r="D106" s="66">
        <f>D105+N101</f>
        <v>0</v>
      </c>
      <c r="E106" s="57">
        <f t="shared" ref="E106:E118" si="24">B106</f>
        <v>44287</v>
      </c>
      <c r="F106" s="57">
        <v>44651</v>
      </c>
      <c r="G106" s="53">
        <f t="shared" ref="G106:G118" si="25">F106-B106+1</f>
        <v>365</v>
      </c>
      <c r="H106" s="53">
        <v>365</v>
      </c>
      <c r="I106" s="52">
        <f t="shared" ref="I106:I118" si="26">ROUNDDOWN(D106/100,0)*100</f>
        <v>0</v>
      </c>
      <c r="J106" s="71">
        <f t="shared" ref="J106:J118" si="27">ROUNDDOWN(I106*G106/H106,0)</f>
        <v>0</v>
      </c>
    </row>
    <row r="107" spans="1:14" ht="19.5" customHeight="1">
      <c r="B107" s="57">
        <v>44311</v>
      </c>
      <c r="C107" s="53" t="s">
        <v>4</v>
      </c>
      <c r="D107" s="58">
        <v>0</v>
      </c>
      <c r="E107" s="57">
        <f t="shared" si="24"/>
        <v>44311</v>
      </c>
      <c r="F107" s="57">
        <v>44651</v>
      </c>
      <c r="G107" s="53">
        <f t="shared" si="25"/>
        <v>341</v>
      </c>
      <c r="H107" s="53">
        <v>365</v>
      </c>
      <c r="I107" s="52">
        <f t="shared" si="26"/>
        <v>0</v>
      </c>
      <c r="J107" s="71">
        <f t="shared" si="27"/>
        <v>0</v>
      </c>
    </row>
    <row r="108" spans="1:14" ht="19.5" customHeight="1">
      <c r="B108" s="57">
        <v>44341</v>
      </c>
      <c r="C108" s="53" t="s">
        <v>4</v>
      </c>
      <c r="D108" s="58">
        <v>0</v>
      </c>
      <c r="E108" s="57">
        <f t="shared" si="24"/>
        <v>44341</v>
      </c>
      <c r="F108" s="57">
        <v>44651</v>
      </c>
      <c r="G108" s="53">
        <f t="shared" si="25"/>
        <v>311</v>
      </c>
      <c r="H108" s="53">
        <v>365</v>
      </c>
      <c r="I108" s="52">
        <f t="shared" si="26"/>
        <v>0</v>
      </c>
      <c r="J108" s="71">
        <f t="shared" si="27"/>
        <v>0</v>
      </c>
    </row>
    <row r="109" spans="1:14" ht="19.5" customHeight="1">
      <c r="B109" s="57">
        <v>44372</v>
      </c>
      <c r="C109" s="53" t="s">
        <v>4</v>
      </c>
      <c r="D109" s="58">
        <v>0</v>
      </c>
      <c r="E109" s="57">
        <f t="shared" si="24"/>
        <v>44372</v>
      </c>
      <c r="F109" s="57">
        <v>44651</v>
      </c>
      <c r="G109" s="53">
        <f t="shared" si="25"/>
        <v>280</v>
      </c>
      <c r="H109" s="53">
        <v>365</v>
      </c>
      <c r="I109" s="52">
        <f t="shared" si="26"/>
        <v>0</v>
      </c>
      <c r="J109" s="71">
        <f t="shared" si="27"/>
        <v>0</v>
      </c>
    </row>
    <row r="110" spans="1:14" ht="19.5" customHeight="1">
      <c r="B110" s="57">
        <v>44402</v>
      </c>
      <c r="C110" s="53" t="s">
        <v>4</v>
      </c>
      <c r="D110" s="58">
        <v>0</v>
      </c>
      <c r="E110" s="57">
        <f t="shared" si="24"/>
        <v>44402</v>
      </c>
      <c r="F110" s="57">
        <v>44651</v>
      </c>
      <c r="G110" s="53">
        <f t="shared" si="25"/>
        <v>250</v>
      </c>
      <c r="H110" s="53">
        <v>365</v>
      </c>
      <c r="I110" s="52">
        <f t="shared" si="26"/>
        <v>0</v>
      </c>
      <c r="J110" s="71">
        <f t="shared" si="27"/>
        <v>0</v>
      </c>
    </row>
    <row r="111" spans="1:14" ht="19.5" customHeight="1">
      <c r="B111" s="57">
        <v>44433</v>
      </c>
      <c r="C111" s="53" t="s">
        <v>4</v>
      </c>
      <c r="D111" s="58">
        <v>0</v>
      </c>
      <c r="E111" s="57">
        <f t="shared" si="24"/>
        <v>44433</v>
      </c>
      <c r="F111" s="57">
        <v>44651</v>
      </c>
      <c r="G111" s="53">
        <f t="shared" si="25"/>
        <v>219</v>
      </c>
      <c r="H111" s="53">
        <v>365</v>
      </c>
      <c r="I111" s="52">
        <f t="shared" si="26"/>
        <v>0</v>
      </c>
      <c r="J111" s="71">
        <f t="shared" si="27"/>
        <v>0</v>
      </c>
    </row>
    <row r="112" spans="1:14" ht="19.5" customHeight="1" thickBot="1">
      <c r="B112" s="57">
        <v>44464</v>
      </c>
      <c r="C112" s="53" t="s">
        <v>4</v>
      </c>
      <c r="D112" s="58">
        <v>0</v>
      </c>
      <c r="E112" s="57">
        <f t="shared" si="24"/>
        <v>44464</v>
      </c>
      <c r="F112" s="57">
        <v>44651</v>
      </c>
      <c r="G112" s="53">
        <f t="shared" si="25"/>
        <v>188</v>
      </c>
      <c r="H112" s="53">
        <v>365</v>
      </c>
      <c r="I112" s="52">
        <f t="shared" si="26"/>
        <v>0</v>
      </c>
      <c r="J112" s="71">
        <f t="shared" si="27"/>
        <v>0</v>
      </c>
    </row>
    <row r="113" spans="1:14" ht="19.5" customHeight="1" thickBot="1">
      <c r="B113" s="57">
        <v>44494</v>
      </c>
      <c r="C113" s="53" t="s">
        <v>4</v>
      </c>
      <c r="D113" s="58">
        <v>0</v>
      </c>
      <c r="E113" s="57">
        <f t="shared" si="24"/>
        <v>44494</v>
      </c>
      <c r="F113" s="57">
        <v>44651</v>
      </c>
      <c r="G113" s="53">
        <f t="shared" si="25"/>
        <v>158</v>
      </c>
      <c r="H113" s="53">
        <v>365</v>
      </c>
      <c r="I113" s="52">
        <f t="shared" si="26"/>
        <v>0</v>
      </c>
      <c r="J113" s="71">
        <f t="shared" si="27"/>
        <v>0</v>
      </c>
      <c r="K113" s="94" t="s">
        <v>15</v>
      </c>
      <c r="L113" s="95"/>
      <c r="M113" s="95"/>
      <c r="N113" s="96"/>
    </row>
    <row r="114" spans="1:14" ht="19.5" customHeight="1">
      <c r="B114" s="57">
        <v>44525</v>
      </c>
      <c r="C114" s="53" t="s">
        <v>4</v>
      </c>
      <c r="D114" s="58">
        <v>0</v>
      </c>
      <c r="E114" s="57">
        <f t="shared" si="24"/>
        <v>44525</v>
      </c>
      <c r="F114" s="57">
        <v>44651</v>
      </c>
      <c r="G114" s="53">
        <f t="shared" si="25"/>
        <v>127</v>
      </c>
      <c r="H114" s="53">
        <v>365</v>
      </c>
      <c r="I114" s="52">
        <f t="shared" si="26"/>
        <v>0</v>
      </c>
      <c r="J114" s="71">
        <f t="shared" si="27"/>
        <v>0</v>
      </c>
      <c r="K114" s="59" t="s">
        <v>11</v>
      </c>
      <c r="L114" s="60" t="s">
        <v>12</v>
      </c>
      <c r="M114" s="60" t="s">
        <v>13</v>
      </c>
      <c r="N114" s="61" t="s">
        <v>14</v>
      </c>
    </row>
    <row r="115" spans="1:14" ht="19.5" customHeight="1" thickBot="1">
      <c r="B115" s="57">
        <v>44555</v>
      </c>
      <c r="C115" s="53" t="s">
        <v>4</v>
      </c>
      <c r="D115" s="58">
        <v>0</v>
      </c>
      <c r="E115" s="57">
        <f t="shared" si="24"/>
        <v>44555</v>
      </c>
      <c r="F115" s="57">
        <v>44651</v>
      </c>
      <c r="G115" s="53">
        <f t="shared" si="25"/>
        <v>97</v>
      </c>
      <c r="H115" s="53">
        <v>365</v>
      </c>
      <c r="I115" s="52">
        <f t="shared" si="26"/>
        <v>0</v>
      </c>
      <c r="J115" s="71">
        <f t="shared" si="27"/>
        <v>0</v>
      </c>
      <c r="K115" s="62">
        <f>ROUNDDOWN(J119*1.6/100,0)</f>
        <v>0</v>
      </c>
      <c r="L115" s="63">
        <f>ROUNDDOWN(K115*0.15315,0)</f>
        <v>0</v>
      </c>
      <c r="M115" s="56">
        <f>ROUNDDOWN(K115*0.05,0)</f>
        <v>0</v>
      </c>
      <c r="N115" s="64">
        <f>K115-L115-M115</f>
        <v>0</v>
      </c>
    </row>
    <row r="116" spans="1:14" ht="19.5" customHeight="1">
      <c r="B116" s="57">
        <v>44586</v>
      </c>
      <c r="C116" s="53" t="s">
        <v>4</v>
      </c>
      <c r="D116" s="58">
        <v>0</v>
      </c>
      <c r="E116" s="57">
        <f t="shared" si="24"/>
        <v>44586</v>
      </c>
      <c r="F116" s="57">
        <v>44651</v>
      </c>
      <c r="G116" s="53">
        <f t="shared" si="25"/>
        <v>66</v>
      </c>
      <c r="H116" s="53">
        <v>365</v>
      </c>
      <c r="I116" s="52">
        <f t="shared" si="26"/>
        <v>0</v>
      </c>
      <c r="J116" s="71">
        <f t="shared" si="27"/>
        <v>0</v>
      </c>
      <c r="L116" s="53" t="s">
        <v>16</v>
      </c>
    </row>
    <row r="117" spans="1:14" ht="19.5" customHeight="1">
      <c r="B117" s="57">
        <v>44617</v>
      </c>
      <c r="C117" s="53" t="s">
        <v>4</v>
      </c>
      <c r="D117" s="58">
        <v>0</v>
      </c>
      <c r="E117" s="57">
        <f t="shared" si="24"/>
        <v>44617</v>
      </c>
      <c r="F117" s="57">
        <v>44651</v>
      </c>
      <c r="G117" s="53">
        <f t="shared" si="25"/>
        <v>35</v>
      </c>
      <c r="H117" s="53">
        <v>365</v>
      </c>
      <c r="I117" s="52">
        <f t="shared" si="26"/>
        <v>0</v>
      </c>
      <c r="J117" s="71">
        <f t="shared" si="27"/>
        <v>0</v>
      </c>
    </row>
    <row r="118" spans="1:14" ht="19.5" customHeight="1">
      <c r="B118" s="57">
        <v>44645</v>
      </c>
      <c r="C118" s="53" t="s">
        <v>4</v>
      </c>
      <c r="D118" s="58">
        <v>0</v>
      </c>
      <c r="E118" s="57">
        <f t="shared" si="24"/>
        <v>44645</v>
      </c>
      <c r="F118" s="57">
        <v>44651</v>
      </c>
      <c r="G118" s="53">
        <f t="shared" si="25"/>
        <v>7</v>
      </c>
      <c r="H118" s="53">
        <v>365</v>
      </c>
      <c r="I118" s="52">
        <f t="shared" si="26"/>
        <v>0</v>
      </c>
      <c r="J118" s="71">
        <f t="shared" si="27"/>
        <v>0</v>
      </c>
    </row>
    <row r="119" spans="1:14" ht="19.5" customHeight="1">
      <c r="D119" s="58">
        <f>SUM(D106:D118)</f>
        <v>0</v>
      </c>
      <c r="J119" s="71">
        <f>SUM(J106:J118)</f>
        <v>0</v>
      </c>
    </row>
    <row r="120" spans="1:14" ht="19.5" customHeight="1">
      <c r="A120" s="53" t="s">
        <v>35</v>
      </c>
      <c r="B120" s="57">
        <v>44652</v>
      </c>
      <c r="C120" s="53" t="s">
        <v>5</v>
      </c>
      <c r="D120" s="66">
        <f>D119+N115</f>
        <v>0</v>
      </c>
      <c r="E120" s="57">
        <f t="shared" ref="E120:E132" si="28">B120</f>
        <v>44652</v>
      </c>
      <c r="F120" s="57">
        <v>45016</v>
      </c>
      <c r="G120" s="53">
        <f t="shared" ref="G120:G132" si="29">F120-B120+1</f>
        <v>365</v>
      </c>
      <c r="H120" s="53">
        <v>365</v>
      </c>
      <c r="I120" s="52">
        <f t="shared" ref="I120:I132" si="30">ROUNDDOWN(D120/100,0)*100</f>
        <v>0</v>
      </c>
      <c r="J120" s="74">
        <f t="shared" ref="J120:J132" si="31">ROUNDDOWN(I120*G120/H120,0)</f>
        <v>0</v>
      </c>
    </row>
    <row r="121" spans="1:14" ht="19.5" customHeight="1">
      <c r="B121" s="57">
        <v>44676</v>
      </c>
      <c r="C121" s="53" t="s">
        <v>4</v>
      </c>
      <c r="D121" s="58">
        <v>0</v>
      </c>
      <c r="E121" s="57">
        <f t="shared" si="28"/>
        <v>44676</v>
      </c>
      <c r="F121" s="57">
        <v>45016</v>
      </c>
      <c r="G121" s="53">
        <f t="shared" si="29"/>
        <v>341</v>
      </c>
      <c r="H121" s="53">
        <v>365</v>
      </c>
      <c r="I121" s="52">
        <f t="shared" si="30"/>
        <v>0</v>
      </c>
      <c r="J121" s="74">
        <f t="shared" si="31"/>
        <v>0</v>
      </c>
    </row>
    <row r="122" spans="1:14" ht="19.5" customHeight="1">
      <c r="B122" s="57">
        <v>44706</v>
      </c>
      <c r="C122" s="53" t="s">
        <v>4</v>
      </c>
      <c r="D122" s="58">
        <v>0</v>
      </c>
      <c r="E122" s="57">
        <f t="shared" si="28"/>
        <v>44706</v>
      </c>
      <c r="F122" s="57">
        <v>45016</v>
      </c>
      <c r="G122" s="53">
        <f t="shared" si="29"/>
        <v>311</v>
      </c>
      <c r="H122" s="53">
        <v>365</v>
      </c>
      <c r="I122" s="52">
        <f t="shared" si="30"/>
        <v>0</v>
      </c>
      <c r="J122" s="74">
        <f t="shared" si="31"/>
        <v>0</v>
      </c>
    </row>
    <row r="123" spans="1:14" ht="19.5" customHeight="1">
      <c r="B123" s="57">
        <v>44737</v>
      </c>
      <c r="C123" s="53" t="s">
        <v>4</v>
      </c>
      <c r="D123" s="58">
        <v>0</v>
      </c>
      <c r="E123" s="57">
        <f t="shared" si="28"/>
        <v>44737</v>
      </c>
      <c r="F123" s="57">
        <v>45016</v>
      </c>
      <c r="G123" s="53">
        <f t="shared" si="29"/>
        <v>280</v>
      </c>
      <c r="H123" s="53">
        <v>365</v>
      </c>
      <c r="I123" s="52">
        <f t="shared" si="30"/>
        <v>0</v>
      </c>
      <c r="J123" s="74">
        <f t="shared" si="31"/>
        <v>0</v>
      </c>
    </row>
    <row r="124" spans="1:14" ht="19.5" customHeight="1">
      <c r="B124" s="57">
        <v>44767</v>
      </c>
      <c r="C124" s="53" t="s">
        <v>4</v>
      </c>
      <c r="D124" s="58">
        <v>0</v>
      </c>
      <c r="E124" s="57">
        <f t="shared" si="28"/>
        <v>44767</v>
      </c>
      <c r="F124" s="57">
        <v>45016</v>
      </c>
      <c r="G124" s="53">
        <f t="shared" si="29"/>
        <v>250</v>
      </c>
      <c r="H124" s="53">
        <v>365</v>
      </c>
      <c r="I124" s="52">
        <f t="shared" si="30"/>
        <v>0</v>
      </c>
      <c r="J124" s="74">
        <f t="shared" si="31"/>
        <v>0</v>
      </c>
    </row>
    <row r="125" spans="1:14" ht="19.5" customHeight="1">
      <c r="B125" s="57">
        <v>44798</v>
      </c>
      <c r="C125" s="53" t="s">
        <v>4</v>
      </c>
      <c r="D125" s="58">
        <v>0</v>
      </c>
      <c r="E125" s="57">
        <f t="shared" si="28"/>
        <v>44798</v>
      </c>
      <c r="F125" s="57">
        <v>45016</v>
      </c>
      <c r="G125" s="53">
        <f t="shared" si="29"/>
        <v>219</v>
      </c>
      <c r="H125" s="53">
        <v>365</v>
      </c>
      <c r="I125" s="52">
        <f t="shared" si="30"/>
        <v>0</v>
      </c>
      <c r="J125" s="74">
        <f t="shared" si="31"/>
        <v>0</v>
      </c>
    </row>
    <row r="126" spans="1:14" ht="19.5" customHeight="1" thickBot="1">
      <c r="B126" s="57">
        <v>44829</v>
      </c>
      <c r="C126" s="53" t="s">
        <v>4</v>
      </c>
      <c r="D126" s="58">
        <v>0</v>
      </c>
      <c r="E126" s="57">
        <f t="shared" si="28"/>
        <v>44829</v>
      </c>
      <c r="F126" s="57">
        <v>45016</v>
      </c>
      <c r="G126" s="53">
        <f t="shared" si="29"/>
        <v>188</v>
      </c>
      <c r="H126" s="53">
        <v>365</v>
      </c>
      <c r="I126" s="52">
        <f t="shared" si="30"/>
        <v>0</v>
      </c>
      <c r="J126" s="74">
        <f t="shared" si="31"/>
        <v>0</v>
      </c>
    </row>
    <row r="127" spans="1:14" ht="19.5" customHeight="1" thickBot="1">
      <c r="B127" s="57">
        <v>44859</v>
      </c>
      <c r="C127" s="53" t="s">
        <v>4</v>
      </c>
      <c r="D127" s="58">
        <v>0</v>
      </c>
      <c r="E127" s="57">
        <f t="shared" si="28"/>
        <v>44859</v>
      </c>
      <c r="F127" s="57">
        <v>45016</v>
      </c>
      <c r="G127" s="53">
        <f t="shared" si="29"/>
        <v>158</v>
      </c>
      <c r="H127" s="53">
        <v>365</v>
      </c>
      <c r="I127" s="52">
        <f t="shared" si="30"/>
        <v>0</v>
      </c>
      <c r="J127" s="74">
        <f t="shared" si="31"/>
        <v>0</v>
      </c>
      <c r="K127" s="94" t="s">
        <v>15</v>
      </c>
      <c r="L127" s="95"/>
      <c r="M127" s="95"/>
      <c r="N127" s="96"/>
    </row>
    <row r="128" spans="1:14" ht="19.5" customHeight="1">
      <c r="B128" s="57">
        <v>44890</v>
      </c>
      <c r="C128" s="53" t="s">
        <v>4</v>
      </c>
      <c r="D128" s="58">
        <v>0</v>
      </c>
      <c r="E128" s="57">
        <f t="shared" si="28"/>
        <v>44890</v>
      </c>
      <c r="F128" s="57">
        <v>45016</v>
      </c>
      <c r="G128" s="53">
        <f t="shared" si="29"/>
        <v>127</v>
      </c>
      <c r="H128" s="53">
        <v>365</v>
      </c>
      <c r="I128" s="52">
        <f t="shared" si="30"/>
        <v>0</v>
      </c>
      <c r="J128" s="74">
        <f t="shared" si="31"/>
        <v>0</v>
      </c>
      <c r="K128" s="59" t="s">
        <v>11</v>
      </c>
      <c r="L128" s="60" t="s">
        <v>12</v>
      </c>
      <c r="M128" s="60" t="s">
        <v>13</v>
      </c>
      <c r="N128" s="61" t="s">
        <v>14</v>
      </c>
    </row>
    <row r="129" spans="2:14" ht="19.5" customHeight="1" thickBot="1">
      <c r="B129" s="57">
        <v>44920</v>
      </c>
      <c r="C129" s="53" t="s">
        <v>4</v>
      </c>
      <c r="D129" s="58">
        <v>0</v>
      </c>
      <c r="E129" s="57">
        <f t="shared" si="28"/>
        <v>44920</v>
      </c>
      <c r="F129" s="57">
        <v>45016</v>
      </c>
      <c r="G129" s="53">
        <f t="shared" si="29"/>
        <v>97</v>
      </c>
      <c r="H129" s="53">
        <v>365</v>
      </c>
      <c r="I129" s="52">
        <f t="shared" si="30"/>
        <v>0</v>
      </c>
      <c r="J129" s="74">
        <f t="shared" si="31"/>
        <v>0</v>
      </c>
      <c r="K129" s="62">
        <f>ROUNDDOWN(J133*1.6/100,0)</f>
        <v>0</v>
      </c>
      <c r="L129" s="63">
        <f>ROUNDDOWN(K129*0.15315,0)</f>
        <v>0</v>
      </c>
      <c r="M129" s="56">
        <f>ROUNDDOWN(K129*0.05,0)</f>
        <v>0</v>
      </c>
      <c r="N129" s="64">
        <f>K129-L129-M129</f>
        <v>0</v>
      </c>
    </row>
    <row r="130" spans="2:14" ht="19.5" customHeight="1">
      <c r="B130" s="57">
        <v>44951</v>
      </c>
      <c r="C130" s="53" t="s">
        <v>4</v>
      </c>
      <c r="D130" s="58">
        <v>0</v>
      </c>
      <c r="E130" s="57">
        <f t="shared" si="28"/>
        <v>44951</v>
      </c>
      <c r="F130" s="57">
        <v>45016</v>
      </c>
      <c r="G130" s="53">
        <f t="shared" si="29"/>
        <v>66</v>
      </c>
      <c r="H130" s="53">
        <v>365</v>
      </c>
      <c r="I130" s="52">
        <f t="shared" si="30"/>
        <v>0</v>
      </c>
      <c r="J130" s="74">
        <f t="shared" si="31"/>
        <v>0</v>
      </c>
      <c r="L130" s="53" t="s">
        <v>16</v>
      </c>
    </row>
    <row r="131" spans="2:14" ht="19.5" customHeight="1">
      <c r="B131" s="57">
        <v>44982</v>
      </c>
      <c r="C131" s="53" t="s">
        <v>4</v>
      </c>
      <c r="D131" s="58">
        <v>0</v>
      </c>
      <c r="E131" s="57">
        <f t="shared" si="28"/>
        <v>44982</v>
      </c>
      <c r="F131" s="57">
        <v>45016</v>
      </c>
      <c r="G131" s="53">
        <f t="shared" si="29"/>
        <v>35</v>
      </c>
      <c r="H131" s="53">
        <v>365</v>
      </c>
      <c r="I131" s="52">
        <f t="shared" si="30"/>
        <v>0</v>
      </c>
      <c r="J131" s="74">
        <f t="shared" si="31"/>
        <v>0</v>
      </c>
    </row>
    <row r="132" spans="2:14" ht="19.5" customHeight="1">
      <c r="B132" s="57">
        <v>45010</v>
      </c>
      <c r="C132" s="53" t="s">
        <v>4</v>
      </c>
      <c r="D132" s="58">
        <v>0</v>
      </c>
      <c r="E132" s="57">
        <f t="shared" si="28"/>
        <v>45010</v>
      </c>
      <c r="F132" s="57">
        <v>45016</v>
      </c>
      <c r="G132" s="53">
        <f t="shared" si="29"/>
        <v>7</v>
      </c>
      <c r="H132" s="53">
        <v>365</v>
      </c>
      <c r="I132" s="52">
        <f t="shared" si="30"/>
        <v>0</v>
      </c>
      <c r="J132" s="74">
        <f t="shared" si="31"/>
        <v>0</v>
      </c>
    </row>
    <row r="133" spans="2:14" ht="19.5" customHeight="1">
      <c r="D133" s="58">
        <f>SUM(D120:D132)</f>
        <v>0</v>
      </c>
      <c r="J133" s="74">
        <f>SUM(J120:J132)</f>
        <v>0</v>
      </c>
    </row>
    <row r="134" spans="2:14" ht="19.5" customHeight="1">
      <c r="B134" s="57">
        <v>45017</v>
      </c>
      <c r="C134" s="53" t="s">
        <v>5</v>
      </c>
      <c r="D134" s="58">
        <f>D133+N129</f>
        <v>0</v>
      </c>
      <c r="E134" s="57">
        <f>B134</f>
        <v>45017</v>
      </c>
      <c r="F134" s="57">
        <v>45382</v>
      </c>
      <c r="G134" s="53">
        <f>F134-B134+1</f>
        <v>366</v>
      </c>
      <c r="H134" s="53">
        <v>365</v>
      </c>
      <c r="I134" s="52">
        <f>ROUNDDOWN(D134/100,0)*100</f>
        <v>0</v>
      </c>
      <c r="J134" s="74">
        <f>ROUNDDOWN(I134*G134/H134,0)</f>
        <v>0</v>
      </c>
    </row>
  </sheetData>
  <mergeCells count="8">
    <mergeCell ref="K99:N99"/>
    <mergeCell ref="K113:N113"/>
    <mergeCell ref="K127:N127"/>
    <mergeCell ref="A1:F1"/>
    <mergeCell ref="K59:N59"/>
    <mergeCell ref="K71:N71"/>
    <mergeCell ref="K80:N80"/>
    <mergeCell ref="K85:N85"/>
  </mergeCells>
  <phoneticPr fontId="2"/>
  <pageMargins left="0.75" right="0.75" top="1" bottom="1" header="0.51200000000000001" footer="0.51200000000000001"/>
  <pageSetup paperSize="9" scale="55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11"/>
  </sheetPr>
  <dimension ref="A1:S130"/>
  <sheetViews>
    <sheetView zoomScale="75" workbookViewId="0">
      <selection activeCell="K41" sqref="K41:N44"/>
    </sheetView>
  </sheetViews>
  <sheetFormatPr defaultRowHeight="17.25"/>
  <cols>
    <col min="1" max="1" width="11.875" style="53" bestFit="1" customWidth="1"/>
    <col min="2" max="2" width="14.625" style="53" bestFit="1" customWidth="1"/>
    <col min="3" max="3" width="11.875" style="53" bestFit="1" customWidth="1"/>
    <col min="4" max="4" width="23" style="53" bestFit="1" customWidth="1"/>
    <col min="5" max="6" width="14.625" style="53" bestFit="1" customWidth="1"/>
    <col min="7" max="8" width="11.875" style="53" bestFit="1" customWidth="1"/>
    <col min="9" max="9" width="21.625" style="52" bestFit="1" customWidth="1"/>
    <col min="10" max="10" width="20.25" style="71" bestFit="1" customWidth="1"/>
    <col min="11" max="12" width="20.25" style="53" customWidth="1"/>
    <col min="13" max="13" width="16.125" style="53" bestFit="1" customWidth="1"/>
    <col min="14" max="14" width="18.875" style="53" bestFit="1" customWidth="1"/>
    <col min="15" max="16384" width="9" style="53"/>
  </cols>
  <sheetData>
    <row r="1" spans="1:19" ht="18" customHeight="1">
      <c r="A1" s="97" t="s">
        <v>39</v>
      </c>
      <c r="B1" s="97"/>
      <c r="C1" s="97"/>
      <c r="D1" s="97"/>
      <c r="E1" s="97"/>
      <c r="F1" s="97"/>
    </row>
    <row r="3" spans="1:19" ht="19.5" customHeight="1" thickBot="1">
      <c r="B3" s="54" t="s">
        <v>1</v>
      </c>
      <c r="C3" s="54" t="s">
        <v>2</v>
      </c>
      <c r="D3" s="55" t="s">
        <v>3</v>
      </c>
      <c r="E3" s="55" t="s">
        <v>6</v>
      </c>
      <c r="F3" s="54" t="s">
        <v>7</v>
      </c>
      <c r="G3" s="54" t="s">
        <v>8</v>
      </c>
      <c r="H3" s="54" t="s">
        <v>9</v>
      </c>
      <c r="I3" s="56" t="s">
        <v>10</v>
      </c>
      <c r="J3" s="72"/>
      <c r="K3" s="54"/>
      <c r="L3" s="54"/>
      <c r="M3" s="54"/>
      <c r="N3" s="54"/>
      <c r="O3" s="54"/>
      <c r="P3" s="54"/>
      <c r="Q3" s="54"/>
      <c r="R3" s="54"/>
      <c r="S3" s="54"/>
    </row>
    <row r="4" spans="1:19" ht="19.5" customHeight="1">
      <c r="A4" s="53" t="s">
        <v>28</v>
      </c>
      <c r="B4" s="57">
        <v>42461</v>
      </c>
      <c r="C4" s="53" t="s">
        <v>5</v>
      </c>
      <c r="D4" s="58">
        <v>47015815639</v>
      </c>
      <c r="E4" s="57">
        <f t="shared" ref="E4:E42" si="0">B4</f>
        <v>42461</v>
      </c>
      <c r="F4" s="57">
        <v>42825</v>
      </c>
      <c r="G4" s="68">
        <f t="shared" ref="G4:G42" si="1">F4-B4+1</f>
        <v>365</v>
      </c>
      <c r="H4" s="53">
        <v>365</v>
      </c>
      <c r="I4" s="52">
        <f t="shared" ref="I4:I42" si="2">ROUNDDOWN(D4/100,0)*100</f>
        <v>47015815600</v>
      </c>
      <c r="J4" s="71">
        <f t="shared" ref="J4:J42" si="3">ROUNDDOWN(I4*G4/H4,0)</f>
        <v>47015815600</v>
      </c>
    </row>
    <row r="5" spans="1:19" ht="19.5" customHeight="1">
      <c r="B5" s="57">
        <v>42461</v>
      </c>
      <c r="C5" s="53" t="s">
        <v>37</v>
      </c>
      <c r="D5" s="58">
        <v>-3208874806</v>
      </c>
      <c r="E5" s="57">
        <f t="shared" si="0"/>
        <v>42461</v>
      </c>
      <c r="F5" s="57">
        <v>42825</v>
      </c>
      <c r="G5" s="68">
        <f t="shared" si="1"/>
        <v>365</v>
      </c>
      <c r="H5" s="53">
        <v>365</v>
      </c>
      <c r="I5" s="52">
        <f t="shared" si="2"/>
        <v>-3208874800</v>
      </c>
      <c r="J5" s="71">
        <f t="shared" si="3"/>
        <v>-3208874800</v>
      </c>
    </row>
    <row r="6" spans="1:19" ht="19.5" customHeight="1">
      <c r="B6" s="57">
        <v>42485</v>
      </c>
      <c r="C6" s="53" t="s">
        <v>4</v>
      </c>
      <c r="D6" s="58">
        <v>266549000</v>
      </c>
      <c r="E6" s="57">
        <f t="shared" si="0"/>
        <v>42485</v>
      </c>
      <c r="F6" s="57">
        <v>42825</v>
      </c>
      <c r="G6" s="68">
        <f t="shared" si="1"/>
        <v>341</v>
      </c>
      <c r="H6" s="53">
        <v>365</v>
      </c>
      <c r="I6" s="52">
        <f t="shared" si="2"/>
        <v>266549000</v>
      </c>
      <c r="J6" s="71">
        <f t="shared" si="3"/>
        <v>249022490</v>
      </c>
      <c r="K6" s="88" t="s">
        <v>41</v>
      </c>
      <c r="L6" s="84">
        <v>58218987</v>
      </c>
    </row>
    <row r="7" spans="1:19" ht="19.5" customHeight="1">
      <c r="B7" s="57">
        <v>42490</v>
      </c>
      <c r="C7" s="53" t="s">
        <v>0</v>
      </c>
      <c r="D7" s="58">
        <v>911073652</v>
      </c>
      <c r="E7" s="57">
        <f t="shared" si="0"/>
        <v>42490</v>
      </c>
      <c r="F7" s="57">
        <v>42825</v>
      </c>
      <c r="G7" s="68">
        <f t="shared" si="1"/>
        <v>336</v>
      </c>
      <c r="H7" s="53">
        <v>365</v>
      </c>
      <c r="I7" s="52">
        <f t="shared" si="2"/>
        <v>911073600</v>
      </c>
      <c r="J7" s="71">
        <f t="shared" si="3"/>
        <v>838686930</v>
      </c>
      <c r="K7" s="76">
        <f>SUM(J4:J7)</f>
        <v>44894650220</v>
      </c>
      <c r="L7" s="81">
        <f>K7*1.6/100*30/365</f>
        <v>59039540.015342459</v>
      </c>
    </row>
    <row r="8" spans="1:19" ht="19.5" customHeight="1">
      <c r="B8" s="57">
        <v>42491</v>
      </c>
      <c r="C8" s="53" t="s">
        <v>37</v>
      </c>
      <c r="D8" s="58">
        <v>-356899681</v>
      </c>
      <c r="E8" s="57">
        <f t="shared" si="0"/>
        <v>42491</v>
      </c>
      <c r="F8" s="57">
        <v>42825</v>
      </c>
      <c r="G8" s="68">
        <f t="shared" si="1"/>
        <v>335</v>
      </c>
      <c r="H8" s="53">
        <v>365</v>
      </c>
      <c r="I8" s="52">
        <f t="shared" si="2"/>
        <v>-356899600</v>
      </c>
      <c r="J8" s="71">
        <f t="shared" si="3"/>
        <v>-327565386</v>
      </c>
      <c r="L8" s="87">
        <f>L7-L6</f>
        <v>820553.01534245908</v>
      </c>
    </row>
    <row r="9" spans="1:19" ht="19.5" customHeight="1">
      <c r="B9" s="57">
        <v>42515</v>
      </c>
      <c r="C9" s="53" t="s">
        <v>4</v>
      </c>
      <c r="D9" s="58">
        <v>267786000</v>
      </c>
      <c r="E9" s="57">
        <f t="shared" si="0"/>
        <v>42515</v>
      </c>
      <c r="F9" s="57">
        <v>42825</v>
      </c>
      <c r="G9" s="68">
        <f t="shared" si="1"/>
        <v>311</v>
      </c>
      <c r="H9" s="53">
        <v>365</v>
      </c>
      <c r="I9" s="52">
        <f t="shared" si="2"/>
        <v>267786000</v>
      </c>
      <c r="J9" s="71">
        <f t="shared" si="3"/>
        <v>228168345</v>
      </c>
      <c r="K9" s="76"/>
      <c r="L9" s="81"/>
    </row>
    <row r="10" spans="1:19" ht="19.5" customHeight="1">
      <c r="B10" s="57">
        <v>42521</v>
      </c>
      <c r="C10" s="53" t="s">
        <v>0</v>
      </c>
      <c r="D10" s="58">
        <v>526583161</v>
      </c>
      <c r="E10" s="57">
        <f t="shared" si="0"/>
        <v>42521</v>
      </c>
      <c r="F10" s="57">
        <v>42825</v>
      </c>
      <c r="G10" s="68">
        <f t="shared" si="1"/>
        <v>305</v>
      </c>
      <c r="H10" s="53">
        <v>365</v>
      </c>
      <c r="I10" s="52">
        <f t="shared" si="2"/>
        <v>526583100</v>
      </c>
      <c r="J10" s="71">
        <f t="shared" si="3"/>
        <v>440021494</v>
      </c>
    </row>
    <row r="11" spans="1:19" ht="19.5" customHeight="1">
      <c r="B11" s="57">
        <v>42522</v>
      </c>
      <c r="C11" s="53" t="s">
        <v>37</v>
      </c>
      <c r="D11" s="58">
        <v>-489231212</v>
      </c>
      <c r="E11" s="57">
        <f t="shared" si="0"/>
        <v>42522</v>
      </c>
      <c r="F11" s="57">
        <v>42825</v>
      </c>
      <c r="G11" s="68">
        <f t="shared" si="1"/>
        <v>304</v>
      </c>
      <c r="H11" s="53">
        <v>365</v>
      </c>
      <c r="I11" s="52">
        <f t="shared" si="2"/>
        <v>-489231200</v>
      </c>
      <c r="J11" s="71">
        <f t="shared" si="3"/>
        <v>-407469273</v>
      </c>
    </row>
    <row r="12" spans="1:19" ht="19.5" customHeight="1">
      <c r="B12" s="57">
        <v>42546</v>
      </c>
      <c r="C12" s="53" t="s">
        <v>4</v>
      </c>
      <c r="D12" s="58">
        <v>270294000</v>
      </c>
      <c r="E12" s="57">
        <f t="shared" si="0"/>
        <v>42546</v>
      </c>
      <c r="F12" s="57">
        <v>42825</v>
      </c>
      <c r="G12" s="68">
        <f t="shared" si="1"/>
        <v>280</v>
      </c>
      <c r="H12" s="53">
        <v>365</v>
      </c>
      <c r="I12" s="52">
        <f t="shared" si="2"/>
        <v>270294000</v>
      </c>
      <c r="J12" s="71">
        <f t="shared" si="3"/>
        <v>207348821</v>
      </c>
    </row>
    <row r="13" spans="1:19" ht="19.5" customHeight="1">
      <c r="B13" s="57">
        <v>42551</v>
      </c>
      <c r="C13" s="53" t="s">
        <v>0</v>
      </c>
      <c r="D13" s="58">
        <v>202192364</v>
      </c>
      <c r="E13" s="57">
        <f t="shared" si="0"/>
        <v>42551</v>
      </c>
      <c r="F13" s="57">
        <v>42825</v>
      </c>
      <c r="G13" s="68">
        <f t="shared" si="1"/>
        <v>275</v>
      </c>
      <c r="H13" s="53">
        <v>365</v>
      </c>
      <c r="I13" s="52">
        <f t="shared" si="2"/>
        <v>202192300</v>
      </c>
      <c r="J13" s="71">
        <f t="shared" si="3"/>
        <v>152336664</v>
      </c>
    </row>
    <row r="14" spans="1:19" ht="19.5" customHeight="1">
      <c r="B14" s="57">
        <v>42552</v>
      </c>
      <c r="C14" s="53" t="s">
        <v>37</v>
      </c>
      <c r="D14" s="58">
        <v>-261942287</v>
      </c>
      <c r="E14" s="57">
        <f t="shared" si="0"/>
        <v>42552</v>
      </c>
      <c r="F14" s="57">
        <v>42825</v>
      </c>
      <c r="G14" s="68">
        <f t="shared" si="1"/>
        <v>274</v>
      </c>
      <c r="H14" s="53">
        <v>365</v>
      </c>
      <c r="I14" s="52">
        <f t="shared" si="2"/>
        <v>-261942200</v>
      </c>
      <c r="J14" s="71">
        <f t="shared" si="3"/>
        <v>-196636062</v>
      </c>
    </row>
    <row r="15" spans="1:19" ht="19.5" customHeight="1">
      <c r="B15" s="57">
        <v>42556</v>
      </c>
      <c r="C15" s="53" t="s">
        <v>38</v>
      </c>
      <c r="D15" s="58">
        <v>275425000</v>
      </c>
      <c r="E15" s="57">
        <f t="shared" si="0"/>
        <v>42556</v>
      </c>
      <c r="F15" s="57">
        <v>42825</v>
      </c>
      <c r="G15" s="68">
        <f t="shared" si="1"/>
        <v>270</v>
      </c>
      <c r="H15" s="53">
        <v>365</v>
      </c>
      <c r="I15" s="52">
        <f t="shared" si="2"/>
        <v>275425000</v>
      </c>
      <c r="J15" s="71">
        <f t="shared" si="3"/>
        <v>203739041</v>
      </c>
    </row>
    <row r="16" spans="1:19" ht="19.5" customHeight="1">
      <c r="B16" s="57">
        <v>42576</v>
      </c>
      <c r="C16" s="53" t="s">
        <v>4</v>
      </c>
      <c r="D16" s="58">
        <v>272011500</v>
      </c>
      <c r="E16" s="57">
        <f t="shared" si="0"/>
        <v>42576</v>
      </c>
      <c r="F16" s="57">
        <v>42825</v>
      </c>
      <c r="G16" s="68">
        <f t="shared" si="1"/>
        <v>250</v>
      </c>
      <c r="H16" s="53">
        <v>365</v>
      </c>
      <c r="I16" s="52">
        <f t="shared" si="2"/>
        <v>272011500</v>
      </c>
      <c r="J16" s="71">
        <f t="shared" si="3"/>
        <v>186309246</v>
      </c>
    </row>
    <row r="17" spans="2:13" ht="19.5" customHeight="1">
      <c r="B17" s="57">
        <v>42581</v>
      </c>
      <c r="C17" s="53" t="s">
        <v>0</v>
      </c>
      <c r="D17" s="58">
        <v>684940232</v>
      </c>
      <c r="E17" s="57">
        <f t="shared" si="0"/>
        <v>42581</v>
      </c>
      <c r="F17" s="57">
        <v>42825</v>
      </c>
      <c r="G17" s="68">
        <f t="shared" si="1"/>
        <v>245</v>
      </c>
      <c r="H17" s="53">
        <v>365</v>
      </c>
      <c r="I17" s="52">
        <f t="shared" si="2"/>
        <v>684940200</v>
      </c>
      <c r="J17" s="71">
        <f t="shared" si="3"/>
        <v>459754380</v>
      </c>
    </row>
    <row r="18" spans="2:13" ht="19.5" customHeight="1">
      <c r="B18" s="57">
        <v>42583</v>
      </c>
      <c r="C18" s="53" t="s">
        <v>37</v>
      </c>
      <c r="D18" s="58">
        <v>-325768085</v>
      </c>
      <c r="E18" s="57">
        <f t="shared" si="0"/>
        <v>42583</v>
      </c>
      <c r="F18" s="57">
        <v>42825</v>
      </c>
      <c r="G18" s="68">
        <f t="shared" si="1"/>
        <v>243</v>
      </c>
      <c r="H18" s="53">
        <v>365</v>
      </c>
      <c r="I18" s="52">
        <f t="shared" si="2"/>
        <v>-325768000</v>
      </c>
      <c r="J18" s="71">
        <f t="shared" si="3"/>
        <v>-216881161</v>
      </c>
    </row>
    <row r="19" spans="2:13" ht="19.5" customHeight="1">
      <c r="B19" s="57">
        <v>42607</v>
      </c>
      <c r="C19" s="53" t="s">
        <v>4</v>
      </c>
      <c r="D19" s="58">
        <v>273418500</v>
      </c>
      <c r="E19" s="57">
        <f t="shared" si="0"/>
        <v>42607</v>
      </c>
      <c r="F19" s="57">
        <v>42825</v>
      </c>
      <c r="G19" s="68">
        <f t="shared" si="1"/>
        <v>219</v>
      </c>
      <c r="H19" s="53">
        <v>365</v>
      </c>
      <c r="I19" s="52">
        <f t="shared" si="2"/>
        <v>273418500</v>
      </c>
      <c r="J19" s="71">
        <f t="shared" si="3"/>
        <v>164051100</v>
      </c>
    </row>
    <row r="20" spans="2:13" ht="19.5" customHeight="1">
      <c r="B20" s="57">
        <v>42612</v>
      </c>
      <c r="C20" s="53" t="s">
        <v>0</v>
      </c>
      <c r="D20" s="58">
        <v>322665000</v>
      </c>
      <c r="E20" s="57">
        <f t="shared" si="0"/>
        <v>42612</v>
      </c>
      <c r="F20" s="57">
        <v>42825</v>
      </c>
      <c r="G20" s="68">
        <f t="shared" si="1"/>
        <v>214</v>
      </c>
      <c r="H20" s="53">
        <v>365</v>
      </c>
      <c r="I20" s="52">
        <f t="shared" si="2"/>
        <v>322665000</v>
      </c>
      <c r="J20" s="71">
        <f t="shared" si="3"/>
        <v>189178931</v>
      </c>
    </row>
    <row r="21" spans="2:13" ht="19.5" customHeight="1">
      <c r="B21" s="57">
        <v>42614</v>
      </c>
      <c r="C21" s="53" t="s">
        <v>37</v>
      </c>
      <c r="D21" s="58">
        <v>-354163128</v>
      </c>
      <c r="E21" s="57">
        <f t="shared" si="0"/>
        <v>42614</v>
      </c>
      <c r="F21" s="57">
        <v>42825</v>
      </c>
      <c r="G21" s="68">
        <f t="shared" si="1"/>
        <v>212</v>
      </c>
      <c r="H21" s="53">
        <v>365</v>
      </c>
      <c r="I21" s="52">
        <f t="shared" si="2"/>
        <v>-354163100</v>
      </c>
      <c r="J21" s="71">
        <f t="shared" si="3"/>
        <v>-205705690</v>
      </c>
    </row>
    <row r="22" spans="2:13" ht="19.5" customHeight="1">
      <c r="B22" s="57">
        <v>42638</v>
      </c>
      <c r="C22" s="53" t="s">
        <v>4</v>
      </c>
      <c r="D22" s="58">
        <v>273827500</v>
      </c>
      <c r="E22" s="57">
        <f t="shared" si="0"/>
        <v>42638</v>
      </c>
      <c r="F22" s="57">
        <v>42825</v>
      </c>
      <c r="G22" s="68">
        <f t="shared" si="1"/>
        <v>188</v>
      </c>
      <c r="H22" s="53">
        <v>365</v>
      </c>
      <c r="I22" s="52">
        <f t="shared" si="2"/>
        <v>273827500</v>
      </c>
      <c r="J22" s="71">
        <f t="shared" si="3"/>
        <v>141039917</v>
      </c>
      <c r="K22" s="76">
        <f>SUM(J4:J23)</f>
        <v>46059478102</v>
      </c>
      <c r="L22" s="84">
        <v>364586000</v>
      </c>
      <c r="M22" s="53" t="s">
        <v>40</v>
      </c>
    </row>
    <row r="23" spans="2:13" ht="19.5" customHeight="1">
      <c r="B23" s="57">
        <v>42643</v>
      </c>
      <c r="C23" s="53" t="s">
        <v>0</v>
      </c>
      <c r="D23" s="58">
        <v>293471000</v>
      </c>
      <c r="E23" s="57">
        <f t="shared" si="0"/>
        <v>42643</v>
      </c>
      <c r="F23" s="57">
        <v>42825</v>
      </c>
      <c r="G23" s="68">
        <f t="shared" si="1"/>
        <v>183</v>
      </c>
      <c r="H23" s="53">
        <v>365</v>
      </c>
      <c r="I23" s="52">
        <f t="shared" si="2"/>
        <v>293471000</v>
      </c>
      <c r="J23" s="71">
        <f t="shared" si="3"/>
        <v>147137515</v>
      </c>
      <c r="K23" s="76"/>
      <c r="L23" s="52">
        <f>K22*1.6/100*183/365</f>
        <v>369485347.62371504</v>
      </c>
    </row>
    <row r="24" spans="2:13" s="68" customFormat="1" ht="19.5" customHeight="1">
      <c r="B24" s="82">
        <v>42644</v>
      </c>
      <c r="C24" s="68" t="s">
        <v>37</v>
      </c>
      <c r="D24" s="83">
        <v>-385463653</v>
      </c>
      <c r="E24" s="67">
        <f t="shared" si="0"/>
        <v>42644</v>
      </c>
      <c r="F24" s="67">
        <v>42825</v>
      </c>
      <c r="G24" s="68">
        <f t="shared" si="1"/>
        <v>182</v>
      </c>
      <c r="H24" s="68">
        <v>365</v>
      </c>
      <c r="I24" s="70">
        <f t="shared" si="2"/>
        <v>-385463600</v>
      </c>
      <c r="J24" s="73">
        <f t="shared" si="3"/>
        <v>-192203767</v>
      </c>
      <c r="K24" s="52"/>
      <c r="L24" s="70">
        <f>L23-L22</f>
        <v>4899347.6237150431</v>
      </c>
    </row>
    <row r="25" spans="2:13" ht="19.5" customHeight="1">
      <c r="B25" s="67">
        <v>42668</v>
      </c>
      <c r="C25" s="68" t="s">
        <v>4</v>
      </c>
      <c r="D25" s="69">
        <v>274352000</v>
      </c>
      <c r="E25" s="67">
        <f t="shared" si="0"/>
        <v>42668</v>
      </c>
      <c r="F25" s="67">
        <v>42825</v>
      </c>
      <c r="G25" s="68">
        <f t="shared" si="1"/>
        <v>158</v>
      </c>
      <c r="H25" s="68">
        <v>365</v>
      </c>
      <c r="I25" s="70">
        <f t="shared" si="2"/>
        <v>274352000</v>
      </c>
      <c r="J25" s="73">
        <f t="shared" si="3"/>
        <v>118760591</v>
      </c>
    </row>
    <row r="26" spans="2:13" ht="19.5" customHeight="1">
      <c r="B26" s="67">
        <v>42673</v>
      </c>
      <c r="C26" s="68" t="s">
        <v>0</v>
      </c>
      <c r="D26" s="69">
        <v>276446706</v>
      </c>
      <c r="E26" s="67">
        <f t="shared" si="0"/>
        <v>42673</v>
      </c>
      <c r="F26" s="67">
        <v>42825</v>
      </c>
      <c r="G26" s="68">
        <f t="shared" si="1"/>
        <v>153</v>
      </c>
      <c r="H26" s="68">
        <v>365</v>
      </c>
      <c r="I26" s="70">
        <f t="shared" si="2"/>
        <v>276446700</v>
      </c>
      <c r="J26" s="73">
        <f t="shared" si="3"/>
        <v>115880397</v>
      </c>
    </row>
    <row r="27" spans="2:13" ht="19.5" customHeight="1">
      <c r="B27" s="67">
        <v>42675</v>
      </c>
      <c r="C27" s="68" t="s">
        <v>37</v>
      </c>
      <c r="D27" s="69">
        <v>-319825727</v>
      </c>
      <c r="E27" s="67">
        <f t="shared" si="0"/>
        <v>42675</v>
      </c>
      <c r="F27" s="67">
        <v>42825</v>
      </c>
      <c r="G27" s="68">
        <f t="shared" si="1"/>
        <v>151</v>
      </c>
      <c r="H27" s="68">
        <v>365</v>
      </c>
      <c r="I27" s="70">
        <f t="shared" si="2"/>
        <v>-319825700</v>
      </c>
      <c r="J27" s="73">
        <f t="shared" si="3"/>
        <v>-132311453</v>
      </c>
    </row>
    <row r="28" spans="2:13" ht="19.5" customHeight="1">
      <c r="B28" s="67">
        <v>42699</v>
      </c>
      <c r="C28" s="68" t="s">
        <v>4</v>
      </c>
      <c r="D28" s="69">
        <v>275360000</v>
      </c>
      <c r="E28" s="67">
        <f t="shared" si="0"/>
        <v>42699</v>
      </c>
      <c r="F28" s="67">
        <v>42825</v>
      </c>
      <c r="G28" s="68">
        <f t="shared" si="1"/>
        <v>127</v>
      </c>
      <c r="H28" s="68">
        <v>365</v>
      </c>
      <c r="I28" s="70">
        <f t="shared" si="2"/>
        <v>275360000</v>
      </c>
      <c r="J28" s="73">
        <f t="shared" si="3"/>
        <v>95810191</v>
      </c>
    </row>
    <row r="29" spans="2:13" ht="19.5" customHeight="1">
      <c r="B29" s="67">
        <v>42704</v>
      </c>
      <c r="C29" s="68" t="s">
        <v>0</v>
      </c>
      <c r="D29" s="69">
        <v>149050000</v>
      </c>
      <c r="E29" s="67">
        <f t="shared" si="0"/>
        <v>42704</v>
      </c>
      <c r="F29" s="67">
        <v>42825</v>
      </c>
      <c r="G29" s="68">
        <f t="shared" si="1"/>
        <v>122</v>
      </c>
      <c r="H29" s="68">
        <v>365</v>
      </c>
      <c r="I29" s="70">
        <f t="shared" si="2"/>
        <v>149050000</v>
      </c>
      <c r="J29" s="73">
        <f t="shared" si="3"/>
        <v>49819452</v>
      </c>
    </row>
    <row r="30" spans="2:13" ht="19.5" customHeight="1">
      <c r="B30" s="67">
        <v>42705</v>
      </c>
      <c r="C30" s="68" t="s">
        <v>37</v>
      </c>
      <c r="D30" s="69">
        <v>-253578184</v>
      </c>
      <c r="E30" s="67">
        <f t="shared" si="0"/>
        <v>42705</v>
      </c>
      <c r="F30" s="67">
        <v>42825</v>
      </c>
      <c r="G30" s="68">
        <f t="shared" si="1"/>
        <v>121</v>
      </c>
      <c r="H30" s="68">
        <v>365</v>
      </c>
      <c r="I30" s="70">
        <f t="shared" si="2"/>
        <v>-253578100</v>
      </c>
      <c r="J30" s="73">
        <f t="shared" si="3"/>
        <v>-84062876</v>
      </c>
    </row>
    <row r="31" spans="2:13" ht="19.5" customHeight="1">
      <c r="B31" s="67">
        <v>42719</v>
      </c>
      <c r="C31" s="68" t="s">
        <v>38</v>
      </c>
      <c r="D31" s="69">
        <v>301374000</v>
      </c>
      <c r="E31" s="67">
        <f t="shared" si="0"/>
        <v>42719</v>
      </c>
      <c r="F31" s="67">
        <v>42825</v>
      </c>
      <c r="G31" s="68">
        <f t="shared" si="1"/>
        <v>107</v>
      </c>
      <c r="H31" s="68">
        <v>365</v>
      </c>
      <c r="I31" s="70">
        <f t="shared" si="2"/>
        <v>301374000</v>
      </c>
      <c r="J31" s="73">
        <f t="shared" si="3"/>
        <v>88347994</v>
      </c>
    </row>
    <row r="32" spans="2:13" ht="19.5" customHeight="1">
      <c r="B32" s="67">
        <v>42729</v>
      </c>
      <c r="C32" s="68" t="s">
        <v>4</v>
      </c>
      <c r="D32" s="69">
        <v>275344000</v>
      </c>
      <c r="E32" s="67">
        <f t="shared" si="0"/>
        <v>42729</v>
      </c>
      <c r="F32" s="67">
        <v>42825</v>
      </c>
      <c r="G32" s="68">
        <f t="shared" si="1"/>
        <v>97</v>
      </c>
      <c r="H32" s="68">
        <v>365</v>
      </c>
      <c r="I32" s="70">
        <f t="shared" si="2"/>
        <v>275344000</v>
      </c>
      <c r="J32" s="73">
        <f t="shared" si="3"/>
        <v>73173610</v>
      </c>
    </row>
    <row r="33" spans="1:14" ht="19.5" customHeight="1">
      <c r="B33" s="67">
        <v>42734</v>
      </c>
      <c r="C33" s="68" t="s">
        <v>0</v>
      </c>
      <c r="D33" s="69">
        <v>299054000</v>
      </c>
      <c r="E33" s="67">
        <f t="shared" si="0"/>
        <v>42734</v>
      </c>
      <c r="F33" s="67">
        <v>42825</v>
      </c>
      <c r="G33" s="68">
        <f t="shared" si="1"/>
        <v>92</v>
      </c>
      <c r="H33" s="68">
        <v>365</v>
      </c>
      <c r="I33" s="70">
        <f t="shared" si="2"/>
        <v>299054000</v>
      </c>
      <c r="J33" s="73">
        <f t="shared" si="3"/>
        <v>75377994</v>
      </c>
      <c r="K33" s="76">
        <f>SUM(J4:J33)</f>
        <v>46268070235</v>
      </c>
      <c r="L33" s="71">
        <f>K33*1.6/100*275/365</f>
        <v>557752079.54520547</v>
      </c>
    </row>
    <row r="34" spans="1:14" ht="19.5" customHeight="1">
      <c r="B34" s="67">
        <v>42736</v>
      </c>
      <c r="C34" s="68" t="s">
        <v>37</v>
      </c>
      <c r="D34" s="69">
        <v>-360000000</v>
      </c>
      <c r="E34" s="67">
        <f t="shared" si="0"/>
        <v>42736</v>
      </c>
      <c r="F34" s="67">
        <v>42825</v>
      </c>
      <c r="G34" s="68">
        <f t="shared" si="1"/>
        <v>90</v>
      </c>
      <c r="H34" s="68">
        <v>365</v>
      </c>
      <c r="I34" s="70">
        <f t="shared" si="2"/>
        <v>-360000000</v>
      </c>
      <c r="J34" s="73">
        <f t="shared" si="3"/>
        <v>-88767123</v>
      </c>
      <c r="L34" s="86">
        <v>551499936</v>
      </c>
    </row>
    <row r="35" spans="1:14" ht="19.5" customHeight="1">
      <c r="B35" s="67">
        <v>42760</v>
      </c>
      <c r="C35" s="68" t="s">
        <v>4</v>
      </c>
      <c r="D35" s="69">
        <v>276400000</v>
      </c>
      <c r="E35" s="67">
        <f t="shared" si="0"/>
        <v>42760</v>
      </c>
      <c r="F35" s="67">
        <v>42825</v>
      </c>
      <c r="G35" s="68">
        <f t="shared" si="1"/>
        <v>66</v>
      </c>
      <c r="H35" s="68">
        <v>365</v>
      </c>
      <c r="I35" s="70">
        <f t="shared" si="2"/>
        <v>276400000</v>
      </c>
      <c r="J35" s="73">
        <f t="shared" si="3"/>
        <v>49979178</v>
      </c>
      <c r="L35" s="76">
        <f>L33-L34</f>
        <v>6252143.5452054739</v>
      </c>
    </row>
    <row r="36" spans="1:14" ht="19.5" customHeight="1">
      <c r="B36" s="67">
        <v>42765</v>
      </c>
      <c r="C36" s="68" t="s">
        <v>0</v>
      </c>
      <c r="D36" s="69">
        <v>261400000</v>
      </c>
      <c r="E36" s="67">
        <f t="shared" si="0"/>
        <v>42765</v>
      </c>
      <c r="F36" s="67">
        <v>42825</v>
      </c>
      <c r="G36" s="68">
        <f t="shared" si="1"/>
        <v>61</v>
      </c>
      <c r="H36" s="68">
        <v>365</v>
      </c>
      <c r="I36" s="70">
        <f t="shared" si="2"/>
        <v>261400000</v>
      </c>
      <c r="J36" s="73">
        <f t="shared" si="3"/>
        <v>43686027</v>
      </c>
    </row>
    <row r="37" spans="1:14" ht="19.5" customHeight="1">
      <c r="B37" s="67">
        <v>42767</v>
      </c>
      <c r="C37" s="68" t="s">
        <v>37</v>
      </c>
      <c r="D37" s="69">
        <v>-434000000</v>
      </c>
      <c r="E37" s="67">
        <f t="shared" si="0"/>
        <v>42767</v>
      </c>
      <c r="F37" s="67">
        <v>42825</v>
      </c>
      <c r="G37" s="68">
        <f t="shared" si="1"/>
        <v>59</v>
      </c>
      <c r="H37" s="68">
        <v>365</v>
      </c>
      <c r="I37" s="70">
        <f t="shared" si="2"/>
        <v>-434000000</v>
      </c>
      <c r="J37" s="73">
        <f t="shared" si="3"/>
        <v>-70153424</v>
      </c>
      <c r="K37" s="75"/>
      <c r="L37" s="71"/>
    </row>
    <row r="38" spans="1:14" ht="19.5" customHeight="1">
      <c r="B38" s="67">
        <v>42791</v>
      </c>
      <c r="C38" s="68" t="s">
        <v>4</v>
      </c>
      <c r="D38" s="69">
        <v>276800000</v>
      </c>
      <c r="E38" s="67">
        <f t="shared" si="0"/>
        <v>42791</v>
      </c>
      <c r="F38" s="67">
        <v>42825</v>
      </c>
      <c r="G38" s="68">
        <f t="shared" si="1"/>
        <v>35</v>
      </c>
      <c r="H38" s="68">
        <v>365</v>
      </c>
      <c r="I38" s="70">
        <f t="shared" si="2"/>
        <v>276800000</v>
      </c>
      <c r="J38" s="73">
        <f t="shared" si="3"/>
        <v>26542465</v>
      </c>
      <c r="L38" s="52"/>
    </row>
    <row r="39" spans="1:14" ht="19.5" customHeight="1">
      <c r="B39" s="85">
        <v>42794</v>
      </c>
      <c r="C39" s="68" t="s">
        <v>0</v>
      </c>
      <c r="D39" s="69">
        <v>286800000</v>
      </c>
      <c r="E39" s="67">
        <f t="shared" si="0"/>
        <v>42794</v>
      </c>
      <c r="F39" s="67">
        <v>42825</v>
      </c>
      <c r="G39" s="68">
        <f t="shared" si="1"/>
        <v>32</v>
      </c>
      <c r="H39" s="68">
        <v>365</v>
      </c>
      <c r="I39" s="70">
        <f t="shared" si="2"/>
        <v>286800000</v>
      </c>
      <c r="J39" s="73">
        <f t="shared" si="3"/>
        <v>25144109</v>
      </c>
    </row>
    <row r="40" spans="1:14" ht="19.5" customHeight="1" thickBot="1">
      <c r="B40" s="67">
        <v>42795</v>
      </c>
      <c r="C40" s="68" t="s">
        <v>37</v>
      </c>
      <c r="D40" s="69">
        <v>-2114216000</v>
      </c>
      <c r="E40" s="67">
        <f t="shared" si="0"/>
        <v>42795</v>
      </c>
      <c r="F40" s="67">
        <v>42825</v>
      </c>
      <c r="G40" s="68">
        <f t="shared" si="1"/>
        <v>31</v>
      </c>
      <c r="H40" s="68">
        <v>365</v>
      </c>
      <c r="I40" s="70">
        <f t="shared" si="2"/>
        <v>-2114216000</v>
      </c>
      <c r="J40" s="73">
        <f t="shared" si="3"/>
        <v>-179563550</v>
      </c>
    </row>
    <row r="41" spans="1:14" ht="19.5" customHeight="1" thickBot="1">
      <c r="B41" s="67">
        <v>42819</v>
      </c>
      <c r="C41" s="68" t="s">
        <v>4</v>
      </c>
      <c r="D41" s="69">
        <v>277000000</v>
      </c>
      <c r="E41" s="67">
        <f t="shared" si="0"/>
        <v>42819</v>
      </c>
      <c r="F41" s="67">
        <v>42825</v>
      </c>
      <c r="G41" s="68">
        <f t="shared" si="1"/>
        <v>7</v>
      </c>
      <c r="H41" s="68">
        <v>365</v>
      </c>
      <c r="I41" s="70">
        <f t="shared" si="2"/>
        <v>277000000</v>
      </c>
      <c r="J41" s="73">
        <f t="shared" si="3"/>
        <v>5312328</v>
      </c>
      <c r="K41" s="94" t="s">
        <v>15</v>
      </c>
      <c r="L41" s="95"/>
      <c r="M41" s="95"/>
      <c r="N41" s="96"/>
    </row>
    <row r="42" spans="1:14" ht="19.5" customHeight="1">
      <c r="B42" s="67">
        <v>42824</v>
      </c>
      <c r="C42" s="68" t="s">
        <v>0</v>
      </c>
      <c r="D42" s="69">
        <v>316600000</v>
      </c>
      <c r="E42" s="67">
        <f t="shared" si="0"/>
        <v>42824</v>
      </c>
      <c r="F42" s="67">
        <v>42825</v>
      </c>
      <c r="G42" s="68">
        <f t="shared" si="1"/>
        <v>2</v>
      </c>
      <c r="H42" s="68">
        <v>365</v>
      </c>
      <c r="I42" s="70">
        <f t="shared" si="2"/>
        <v>316600000</v>
      </c>
      <c r="J42" s="73">
        <f t="shared" si="3"/>
        <v>1734794</v>
      </c>
      <c r="K42" s="59" t="s">
        <v>11</v>
      </c>
      <c r="L42" s="60" t="s">
        <v>12</v>
      </c>
      <c r="M42" s="60" t="s">
        <v>13</v>
      </c>
      <c r="N42" s="61" t="s">
        <v>14</v>
      </c>
    </row>
    <row r="43" spans="1:14" ht="19.5" customHeight="1" thickBot="1">
      <c r="B43" s="57"/>
      <c r="D43" s="58">
        <f>SUM(D4:D42)</f>
        <v>46538070491</v>
      </c>
      <c r="E43" s="57"/>
      <c r="F43" s="57"/>
      <c r="I43" s="52">
        <f>SUM(I4:I42)</f>
        <v>46538070700</v>
      </c>
      <c r="J43" s="71">
        <f>SUM(J4:J42)</f>
        <v>46081985039</v>
      </c>
      <c r="K43" s="62">
        <f>ROUNDDOWN(J43*1.6/100,0)</f>
        <v>737311760</v>
      </c>
      <c r="L43" s="63">
        <f>ROUNDDOWN(K43*0.15315,0)</f>
        <v>112919296</v>
      </c>
      <c r="M43" s="56">
        <f>ROUNDDOWN(K43*0.05,0)</f>
        <v>36865588</v>
      </c>
      <c r="N43" s="64">
        <f>K43-L43-M43</f>
        <v>587526876</v>
      </c>
    </row>
    <row r="44" spans="1:14" ht="19.5" customHeight="1">
      <c r="B44" s="57"/>
      <c r="D44" s="58"/>
      <c r="E44" s="57"/>
      <c r="F44" s="57"/>
      <c r="L44" s="53" t="s">
        <v>16</v>
      </c>
    </row>
    <row r="45" spans="1:14" ht="19.5" customHeight="1">
      <c r="A45" s="53" t="s">
        <v>29</v>
      </c>
      <c r="B45" s="57">
        <v>42826</v>
      </c>
      <c r="C45" s="53" t="s">
        <v>5</v>
      </c>
      <c r="D45" s="58">
        <f>D43+N43</f>
        <v>47125597367</v>
      </c>
      <c r="E45" s="57">
        <f t="shared" ref="E45:E57" si="4">B45</f>
        <v>42826</v>
      </c>
      <c r="F45" s="57">
        <v>43190</v>
      </c>
      <c r="G45" s="53">
        <f t="shared" ref="G45:G57" si="5">F45-B45+1</f>
        <v>365</v>
      </c>
      <c r="H45" s="53">
        <v>365</v>
      </c>
      <c r="I45" s="52">
        <f t="shared" ref="I45:I57" si="6">ROUNDDOWN(D45/100,0)*100</f>
        <v>47125597300</v>
      </c>
      <c r="J45" s="71">
        <f t="shared" ref="J45:J57" si="7">ROUNDDOWN(I45*G45/H45,0)</f>
        <v>47125597300</v>
      </c>
    </row>
    <row r="46" spans="1:14" ht="19.5" customHeight="1">
      <c r="B46" s="57">
        <v>42850</v>
      </c>
      <c r="C46" s="53" t="s">
        <v>4</v>
      </c>
      <c r="D46" s="58">
        <v>0</v>
      </c>
      <c r="E46" s="57">
        <f t="shared" si="4"/>
        <v>42850</v>
      </c>
      <c r="F46" s="57">
        <v>43190</v>
      </c>
      <c r="G46" s="53">
        <f t="shared" si="5"/>
        <v>341</v>
      </c>
      <c r="H46" s="53">
        <v>365</v>
      </c>
      <c r="I46" s="52">
        <f t="shared" si="6"/>
        <v>0</v>
      </c>
      <c r="J46" s="71">
        <f t="shared" si="7"/>
        <v>0</v>
      </c>
    </row>
    <row r="47" spans="1:14" ht="19.5" customHeight="1">
      <c r="B47" s="57">
        <v>42880</v>
      </c>
      <c r="C47" s="53" t="s">
        <v>4</v>
      </c>
      <c r="D47" s="58">
        <v>0</v>
      </c>
      <c r="E47" s="57">
        <f t="shared" si="4"/>
        <v>42880</v>
      </c>
      <c r="F47" s="57">
        <v>43190</v>
      </c>
      <c r="G47" s="53">
        <f t="shared" si="5"/>
        <v>311</v>
      </c>
      <c r="H47" s="53">
        <v>365</v>
      </c>
      <c r="I47" s="52">
        <f t="shared" si="6"/>
        <v>0</v>
      </c>
      <c r="J47" s="71">
        <f t="shared" si="7"/>
        <v>0</v>
      </c>
    </row>
    <row r="48" spans="1:14" ht="19.5" customHeight="1">
      <c r="B48" s="57">
        <v>42911</v>
      </c>
      <c r="C48" s="53" t="s">
        <v>4</v>
      </c>
      <c r="D48" s="58">
        <v>0</v>
      </c>
      <c r="E48" s="57">
        <f t="shared" si="4"/>
        <v>42911</v>
      </c>
      <c r="F48" s="57">
        <v>43190</v>
      </c>
      <c r="G48" s="53">
        <f t="shared" si="5"/>
        <v>280</v>
      </c>
      <c r="H48" s="53">
        <v>365</v>
      </c>
      <c r="I48" s="52">
        <f t="shared" si="6"/>
        <v>0</v>
      </c>
      <c r="J48" s="71">
        <f t="shared" si="7"/>
        <v>0</v>
      </c>
    </row>
    <row r="49" spans="1:14" ht="19.5" customHeight="1">
      <c r="B49" s="57">
        <v>42941</v>
      </c>
      <c r="C49" s="53" t="s">
        <v>4</v>
      </c>
      <c r="D49" s="58">
        <v>0</v>
      </c>
      <c r="E49" s="57">
        <f t="shared" si="4"/>
        <v>42941</v>
      </c>
      <c r="F49" s="57">
        <v>43190</v>
      </c>
      <c r="G49" s="53">
        <f t="shared" si="5"/>
        <v>250</v>
      </c>
      <c r="H49" s="53">
        <v>365</v>
      </c>
      <c r="I49" s="52">
        <f t="shared" si="6"/>
        <v>0</v>
      </c>
      <c r="J49" s="71">
        <f t="shared" si="7"/>
        <v>0</v>
      </c>
    </row>
    <row r="50" spans="1:14" ht="19.5" customHeight="1">
      <c r="B50" s="57">
        <v>42972</v>
      </c>
      <c r="C50" s="53" t="s">
        <v>4</v>
      </c>
      <c r="D50" s="58">
        <v>0</v>
      </c>
      <c r="E50" s="57">
        <f t="shared" si="4"/>
        <v>42972</v>
      </c>
      <c r="F50" s="57">
        <v>43190</v>
      </c>
      <c r="G50" s="53">
        <f t="shared" si="5"/>
        <v>219</v>
      </c>
      <c r="H50" s="53">
        <v>365</v>
      </c>
      <c r="I50" s="52">
        <f t="shared" si="6"/>
        <v>0</v>
      </c>
      <c r="J50" s="71">
        <f t="shared" si="7"/>
        <v>0</v>
      </c>
    </row>
    <row r="51" spans="1:14" ht="19.5" customHeight="1">
      <c r="B51" s="57">
        <v>43003</v>
      </c>
      <c r="C51" s="53" t="s">
        <v>4</v>
      </c>
      <c r="D51" s="58">
        <v>0</v>
      </c>
      <c r="E51" s="57">
        <f t="shared" si="4"/>
        <v>43003</v>
      </c>
      <c r="F51" s="57">
        <v>43190</v>
      </c>
      <c r="G51" s="53">
        <f t="shared" si="5"/>
        <v>188</v>
      </c>
      <c r="H51" s="53">
        <v>365</v>
      </c>
      <c r="I51" s="52">
        <f t="shared" si="6"/>
        <v>0</v>
      </c>
      <c r="J51" s="71">
        <f t="shared" si="7"/>
        <v>0</v>
      </c>
    </row>
    <row r="52" spans="1:14" ht="19.5" customHeight="1">
      <c r="B52" s="57">
        <v>43033</v>
      </c>
      <c r="C52" s="53" t="s">
        <v>4</v>
      </c>
      <c r="D52" s="58">
        <v>0</v>
      </c>
      <c r="E52" s="57">
        <f t="shared" si="4"/>
        <v>43033</v>
      </c>
      <c r="F52" s="57">
        <v>43190</v>
      </c>
      <c r="G52" s="53">
        <f t="shared" si="5"/>
        <v>158</v>
      </c>
      <c r="H52" s="53">
        <v>365</v>
      </c>
      <c r="I52" s="52">
        <f t="shared" si="6"/>
        <v>0</v>
      </c>
      <c r="J52" s="71">
        <f t="shared" si="7"/>
        <v>0</v>
      </c>
    </row>
    <row r="53" spans="1:14" ht="19.5" customHeight="1">
      <c r="B53" s="57">
        <v>43064</v>
      </c>
      <c r="C53" s="53" t="s">
        <v>4</v>
      </c>
      <c r="D53" s="58">
        <v>0</v>
      </c>
      <c r="E53" s="57">
        <f t="shared" si="4"/>
        <v>43064</v>
      </c>
      <c r="F53" s="57">
        <v>43190</v>
      </c>
      <c r="G53" s="53">
        <f t="shared" si="5"/>
        <v>127</v>
      </c>
      <c r="H53" s="53">
        <v>365</v>
      </c>
      <c r="I53" s="52">
        <f t="shared" si="6"/>
        <v>0</v>
      </c>
      <c r="J53" s="71">
        <f t="shared" si="7"/>
        <v>0</v>
      </c>
    </row>
    <row r="54" spans="1:14" ht="19.5" customHeight="1" thickBot="1">
      <c r="B54" s="57">
        <v>43094</v>
      </c>
      <c r="C54" s="53" t="s">
        <v>4</v>
      </c>
      <c r="D54" s="58">
        <v>0</v>
      </c>
      <c r="E54" s="57">
        <f t="shared" si="4"/>
        <v>43094</v>
      </c>
      <c r="F54" s="57">
        <v>43190</v>
      </c>
      <c r="G54" s="53">
        <f t="shared" si="5"/>
        <v>97</v>
      </c>
      <c r="H54" s="53">
        <v>365</v>
      </c>
      <c r="I54" s="52">
        <f t="shared" si="6"/>
        <v>0</v>
      </c>
      <c r="J54" s="71">
        <f t="shared" si="7"/>
        <v>0</v>
      </c>
    </row>
    <row r="55" spans="1:14" ht="19.5" customHeight="1" thickBot="1">
      <c r="B55" s="57">
        <v>43125</v>
      </c>
      <c r="C55" s="53" t="s">
        <v>4</v>
      </c>
      <c r="D55" s="58">
        <v>0</v>
      </c>
      <c r="E55" s="57">
        <f t="shared" si="4"/>
        <v>43125</v>
      </c>
      <c r="F55" s="57">
        <v>43190</v>
      </c>
      <c r="G55" s="53">
        <f t="shared" si="5"/>
        <v>66</v>
      </c>
      <c r="H55" s="53">
        <v>365</v>
      </c>
      <c r="I55" s="52">
        <f t="shared" si="6"/>
        <v>0</v>
      </c>
      <c r="J55" s="71">
        <f t="shared" si="7"/>
        <v>0</v>
      </c>
      <c r="K55" s="94" t="s">
        <v>15</v>
      </c>
      <c r="L55" s="95"/>
      <c r="M55" s="95"/>
      <c r="N55" s="96"/>
    </row>
    <row r="56" spans="1:14" ht="19.5" customHeight="1">
      <c r="B56" s="57">
        <v>43156</v>
      </c>
      <c r="C56" s="53" t="s">
        <v>4</v>
      </c>
      <c r="D56" s="58">
        <v>0</v>
      </c>
      <c r="E56" s="57">
        <f t="shared" si="4"/>
        <v>43156</v>
      </c>
      <c r="F56" s="57">
        <v>43190</v>
      </c>
      <c r="G56" s="53">
        <f t="shared" si="5"/>
        <v>35</v>
      </c>
      <c r="H56" s="53">
        <v>365</v>
      </c>
      <c r="I56" s="52">
        <f t="shared" si="6"/>
        <v>0</v>
      </c>
      <c r="J56" s="71">
        <f t="shared" si="7"/>
        <v>0</v>
      </c>
      <c r="K56" s="59" t="s">
        <v>11</v>
      </c>
      <c r="L56" s="60" t="s">
        <v>12</v>
      </c>
      <c r="M56" s="60" t="s">
        <v>13</v>
      </c>
      <c r="N56" s="61" t="s">
        <v>14</v>
      </c>
    </row>
    <row r="57" spans="1:14" ht="19.5" customHeight="1" thickBot="1">
      <c r="B57" s="57">
        <v>43184</v>
      </c>
      <c r="C57" s="53" t="s">
        <v>4</v>
      </c>
      <c r="D57" s="58">
        <v>0</v>
      </c>
      <c r="E57" s="57">
        <f t="shared" si="4"/>
        <v>43184</v>
      </c>
      <c r="F57" s="57">
        <v>43190</v>
      </c>
      <c r="G57" s="53">
        <f t="shared" si="5"/>
        <v>7</v>
      </c>
      <c r="H57" s="53">
        <v>365</v>
      </c>
      <c r="I57" s="52">
        <f t="shared" si="6"/>
        <v>0</v>
      </c>
      <c r="J57" s="71">
        <f t="shared" si="7"/>
        <v>0</v>
      </c>
      <c r="K57" s="62">
        <f>ROUNDDOWN(J58*1.6/100,0)</f>
        <v>754009556</v>
      </c>
      <c r="L57" s="63">
        <f>ROUNDDOWN(K57*0.15315,0)</f>
        <v>115476563</v>
      </c>
      <c r="M57" s="56">
        <f>ROUNDDOWN(K57*0.05,0)</f>
        <v>37700477</v>
      </c>
      <c r="N57" s="64">
        <f>K57-L57-M57</f>
        <v>600832516</v>
      </c>
    </row>
    <row r="58" spans="1:14" ht="19.5" customHeight="1">
      <c r="D58" s="58">
        <f>SUM(D45:D57)</f>
        <v>47125597367</v>
      </c>
      <c r="J58" s="71">
        <f>SUM(J45:J57)</f>
        <v>47125597300</v>
      </c>
      <c r="L58" s="53" t="s">
        <v>16</v>
      </c>
    </row>
    <row r="59" spans="1:14" ht="19.5" customHeight="1">
      <c r="D59" s="58"/>
    </row>
    <row r="60" spans="1:14" ht="19.5" customHeight="1">
      <c r="A60" s="53" t="s">
        <v>30</v>
      </c>
      <c r="B60" s="57">
        <v>43191</v>
      </c>
      <c r="C60" s="53" t="s">
        <v>5</v>
      </c>
      <c r="D60" s="58">
        <f>D58+N57</f>
        <v>47726429883</v>
      </c>
      <c r="E60" s="57">
        <f t="shared" ref="E60:E72" si="8">B60</f>
        <v>43191</v>
      </c>
      <c r="F60" s="57">
        <v>43555</v>
      </c>
      <c r="G60" s="53">
        <f t="shared" ref="G60:G72" si="9">F60-B60+1</f>
        <v>365</v>
      </c>
      <c r="H60" s="53">
        <v>365</v>
      </c>
      <c r="I60" s="52">
        <f t="shared" ref="I60:I72" si="10">ROUNDDOWN(D60/100,0)*100</f>
        <v>47726429800</v>
      </c>
      <c r="J60" s="71">
        <f t="shared" ref="J60:J72" si="11">ROUNDDOWN(I60*G60/H60,0)</f>
        <v>47726429800</v>
      </c>
    </row>
    <row r="61" spans="1:14" ht="19.5" customHeight="1">
      <c r="B61" s="57">
        <v>43215</v>
      </c>
      <c r="C61" s="53" t="s">
        <v>4</v>
      </c>
      <c r="D61" s="58">
        <v>0</v>
      </c>
      <c r="E61" s="57">
        <f t="shared" si="8"/>
        <v>43215</v>
      </c>
      <c r="F61" s="57">
        <v>43555</v>
      </c>
      <c r="G61" s="53">
        <f t="shared" si="9"/>
        <v>341</v>
      </c>
      <c r="H61" s="53">
        <v>365</v>
      </c>
      <c r="I61" s="52">
        <f t="shared" si="10"/>
        <v>0</v>
      </c>
      <c r="J61" s="71">
        <f t="shared" si="11"/>
        <v>0</v>
      </c>
    </row>
    <row r="62" spans="1:14" ht="19.5" customHeight="1">
      <c r="B62" s="57">
        <v>43245</v>
      </c>
      <c r="C62" s="53" t="s">
        <v>4</v>
      </c>
      <c r="D62" s="58">
        <v>0</v>
      </c>
      <c r="E62" s="57">
        <f t="shared" si="8"/>
        <v>43245</v>
      </c>
      <c r="F62" s="57">
        <v>43555</v>
      </c>
      <c r="G62" s="53">
        <f t="shared" si="9"/>
        <v>311</v>
      </c>
      <c r="H62" s="53">
        <v>365</v>
      </c>
      <c r="I62" s="52">
        <f t="shared" si="10"/>
        <v>0</v>
      </c>
      <c r="J62" s="71">
        <f t="shared" si="11"/>
        <v>0</v>
      </c>
    </row>
    <row r="63" spans="1:14" ht="19.5" customHeight="1">
      <c r="B63" s="57">
        <v>43276</v>
      </c>
      <c r="C63" s="53" t="s">
        <v>4</v>
      </c>
      <c r="D63" s="58">
        <v>0</v>
      </c>
      <c r="E63" s="57">
        <f t="shared" si="8"/>
        <v>43276</v>
      </c>
      <c r="F63" s="57">
        <v>43555</v>
      </c>
      <c r="G63" s="53">
        <f t="shared" si="9"/>
        <v>280</v>
      </c>
      <c r="H63" s="53">
        <v>365</v>
      </c>
      <c r="I63" s="52">
        <f t="shared" si="10"/>
        <v>0</v>
      </c>
      <c r="J63" s="71">
        <f t="shared" si="11"/>
        <v>0</v>
      </c>
    </row>
    <row r="64" spans="1:14" ht="19.5" customHeight="1">
      <c r="B64" s="57">
        <v>43306</v>
      </c>
      <c r="C64" s="53" t="s">
        <v>4</v>
      </c>
      <c r="D64" s="58">
        <v>0</v>
      </c>
      <c r="E64" s="57">
        <f t="shared" si="8"/>
        <v>43306</v>
      </c>
      <c r="F64" s="57">
        <v>43555</v>
      </c>
      <c r="G64" s="53">
        <f t="shared" si="9"/>
        <v>250</v>
      </c>
      <c r="H64" s="53">
        <v>365</v>
      </c>
      <c r="I64" s="52">
        <f t="shared" si="10"/>
        <v>0</v>
      </c>
      <c r="J64" s="71">
        <f t="shared" si="11"/>
        <v>0</v>
      </c>
    </row>
    <row r="65" spans="1:14" ht="19.5" customHeight="1">
      <c r="B65" s="57">
        <v>43337</v>
      </c>
      <c r="C65" s="53" t="s">
        <v>4</v>
      </c>
      <c r="D65" s="58">
        <v>0</v>
      </c>
      <c r="E65" s="57">
        <f t="shared" si="8"/>
        <v>43337</v>
      </c>
      <c r="F65" s="57">
        <v>43555</v>
      </c>
      <c r="G65" s="53">
        <f t="shared" si="9"/>
        <v>219</v>
      </c>
      <c r="H65" s="53">
        <v>365</v>
      </c>
      <c r="I65" s="52">
        <f t="shared" si="10"/>
        <v>0</v>
      </c>
      <c r="J65" s="71">
        <f t="shared" si="11"/>
        <v>0</v>
      </c>
    </row>
    <row r="66" spans="1:14" ht="19.5" customHeight="1" thickBot="1">
      <c r="B66" s="57">
        <v>43368</v>
      </c>
      <c r="C66" s="53" t="s">
        <v>4</v>
      </c>
      <c r="D66" s="58">
        <v>0</v>
      </c>
      <c r="E66" s="57">
        <f t="shared" si="8"/>
        <v>43368</v>
      </c>
      <c r="F66" s="57">
        <v>43555</v>
      </c>
      <c r="G66" s="53">
        <f t="shared" si="9"/>
        <v>188</v>
      </c>
      <c r="H66" s="53">
        <v>365</v>
      </c>
      <c r="I66" s="52">
        <f t="shared" si="10"/>
        <v>0</v>
      </c>
      <c r="J66" s="71">
        <f t="shared" si="11"/>
        <v>0</v>
      </c>
    </row>
    <row r="67" spans="1:14" ht="19.5" customHeight="1" thickBot="1">
      <c r="B67" s="57">
        <v>43398</v>
      </c>
      <c r="C67" s="53" t="s">
        <v>4</v>
      </c>
      <c r="D67" s="58">
        <v>0</v>
      </c>
      <c r="E67" s="57">
        <f t="shared" si="8"/>
        <v>43398</v>
      </c>
      <c r="F67" s="57">
        <v>43555</v>
      </c>
      <c r="G67" s="53">
        <f t="shared" si="9"/>
        <v>158</v>
      </c>
      <c r="H67" s="53">
        <v>365</v>
      </c>
      <c r="I67" s="52">
        <f t="shared" si="10"/>
        <v>0</v>
      </c>
      <c r="J67" s="71">
        <f t="shared" si="11"/>
        <v>0</v>
      </c>
      <c r="K67" s="94" t="s">
        <v>15</v>
      </c>
      <c r="L67" s="95"/>
      <c r="M67" s="95"/>
      <c r="N67" s="96"/>
    </row>
    <row r="68" spans="1:14" ht="19.5" customHeight="1">
      <c r="B68" s="57">
        <v>43429</v>
      </c>
      <c r="C68" s="53" t="s">
        <v>4</v>
      </c>
      <c r="D68" s="58">
        <v>0</v>
      </c>
      <c r="E68" s="57">
        <f t="shared" si="8"/>
        <v>43429</v>
      </c>
      <c r="F68" s="57">
        <v>43555</v>
      </c>
      <c r="G68" s="53">
        <f t="shared" si="9"/>
        <v>127</v>
      </c>
      <c r="H68" s="53">
        <v>365</v>
      </c>
      <c r="I68" s="52">
        <f t="shared" si="10"/>
        <v>0</v>
      </c>
      <c r="J68" s="71">
        <f t="shared" si="11"/>
        <v>0</v>
      </c>
      <c r="K68" s="59" t="s">
        <v>11</v>
      </c>
      <c r="L68" s="60" t="s">
        <v>12</v>
      </c>
      <c r="M68" s="60" t="s">
        <v>13</v>
      </c>
      <c r="N68" s="61" t="s">
        <v>14</v>
      </c>
    </row>
    <row r="69" spans="1:14" ht="19.5" customHeight="1" thickBot="1">
      <c r="B69" s="57">
        <v>43459</v>
      </c>
      <c r="C69" s="53" t="s">
        <v>4</v>
      </c>
      <c r="D69" s="58">
        <v>0</v>
      </c>
      <c r="E69" s="57">
        <f t="shared" si="8"/>
        <v>43459</v>
      </c>
      <c r="F69" s="57">
        <v>43555</v>
      </c>
      <c r="G69" s="53">
        <f t="shared" si="9"/>
        <v>97</v>
      </c>
      <c r="H69" s="53">
        <v>365</v>
      </c>
      <c r="I69" s="52">
        <f t="shared" si="10"/>
        <v>0</v>
      </c>
      <c r="J69" s="71">
        <f t="shared" si="11"/>
        <v>0</v>
      </c>
      <c r="K69" s="62">
        <f>ROUNDDOWN(J73*1.6/100,0)</f>
        <v>763622876</v>
      </c>
      <c r="L69" s="63">
        <f>ROUNDDOWN(K69*0.15315,0)</f>
        <v>116948843</v>
      </c>
      <c r="M69" s="56">
        <f>ROUNDDOWN(K69*0.05,0)</f>
        <v>38181143</v>
      </c>
      <c r="N69" s="64">
        <f>K69-L69-M69</f>
        <v>608492890</v>
      </c>
    </row>
    <row r="70" spans="1:14" ht="19.5" customHeight="1">
      <c r="B70" s="57">
        <v>43490</v>
      </c>
      <c r="C70" s="53" t="s">
        <v>4</v>
      </c>
      <c r="D70" s="58">
        <v>0</v>
      </c>
      <c r="E70" s="57">
        <f t="shared" si="8"/>
        <v>43490</v>
      </c>
      <c r="F70" s="57">
        <v>43555</v>
      </c>
      <c r="G70" s="53">
        <f t="shared" si="9"/>
        <v>66</v>
      </c>
      <c r="H70" s="53">
        <v>365</v>
      </c>
      <c r="I70" s="52">
        <f t="shared" si="10"/>
        <v>0</v>
      </c>
      <c r="J70" s="71">
        <f t="shared" si="11"/>
        <v>0</v>
      </c>
      <c r="L70" s="53" t="s">
        <v>16</v>
      </c>
    </row>
    <row r="71" spans="1:14" ht="19.5" customHeight="1">
      <c r="B71" s="57">
        <v>43521</v>
      </c>
      <c r="C71" s="53" t="s">
        <v>4</v>
      </c>
      <c r="D71" s="58">
        <v>0</v>
      </c>
      <c r="E71" s="57">
        <f t="shared" si="8"/>
        <v>43521</v>
      </c>
      <c r="F71" s="57">
        <v>43555</v>
      </c>
      <c r="G71" s="53">
        <f t="shared" si="9"/>
        <v>35</v>
      </c>
      <c r="H71" s="53">
        <v>365</v>
      </c>
      <c r="I71" s="52">
        <f t="shared" si="10"/>
        <v>0</v>
      </c>
      <c r="J71" s="71">
        <f t="shared" si="11"/>
        <v>0</v>
      </c>
    </row>
    <row r="72" spans="1:14" ht="19.5" customHeight="1">
      <c r="B72" s="57">
        <v>43549</v>
      </c>
      <c r="C72" s="53" t="s">
        <v>4</v>
      </c>
      <c r="D72" s="58">
        <v>0</v>
      </c>
      <c r="E72" s="57">
        <f t="shared" si="8"/>
        <v>43549</v>
      </c>
      <c r="F72" s="57">
        <v>43555</v>
      </c>
      <c r="G72" s="53">
        <f t="shared" si="9"/>
        <v>7</v>
      </c>
      <c r="H72" s="53">
        <v>365</v>
      </c>
      <c r="I72" s="52">
        <f t="shared" si="10"/>
        <v>0</v>
      </c>
      <c r="J72" s="71">
        <f t="shared" si="11"/>
        <v>0</v>
      </c>
    </row>
    <row r="73" spans="1:14" ht="19.5" customHeight="1">
      <c r="D73" s="58">
        <f>SUM(D60:D72)</f>
        <v>47726429883</v>
      </c>
      <c r="J73" s="71">
        <f>SUM(J60:J72)</f>
        <v>47726429800</v>
      </c>
    </row>
    <row r="74" spans="1:14" ht="19.5" customHeight="1">
      <c r="A74" s="53" t="s">
        <v>31</v>
      </c>
      <c r="B74" s="57">
        <v>43556</v>
      </c>
      <c r="C74" s="53" t="s">
        <v>5</v>
      </c>
      <c r="D74" s="58">
        <f>D58+N57</f>
        <v>47726429883</v>
      </c>
      <c r="E74" s="57">
        <f t="shared" ref="E74:E86" si="12">B74</f>
        <v>43556</v>
      </c>
      <c r="F74" s="57">
        <v>43921</v>
      </c>
      <c r="G74" s="53">
        <f t="shared" ref="G74:G86" si="13">F74-B74+1</f>
        <v>366</v>
      </c>
      <c r="H74" s="65">
        <v>366</v>
      </c>
      <c r="I74" s="52">
        <f t="shared" ref="I74:I86" si="14">ROUNDDOWN(D74/100,0)*100</f>
        <v>47726429800</v>
      </c>
      <c r="J74" s="71">
        <f t="shared" ref="J74:J86" si="15">ROUNDDOWN(I74*G74/H74,0)</f>
        <v>47726429800</v>
      </c>
    </row>
    <row r="75" spans="1:14" ht="19.5" customHeight="1">
      <c r="B75" s="57">
        <v>43580</v>
      </c>
      <c r="C75" s="53" t="s">
        <v>4</v>
      </c>
      <c r="D75" s="58">
        <f>D74+N70</f>
        <v>47726429883</v>
      </c>
      <c r="E75" s="57">
        <f t="shared" si="12"/>
        <v>43580</v>
      </c>
      <c r="F75" s="57">
        <v>43921</v>
      </c>
      <c r="G75" s="53">
        <f t="shared" si="13"/>
        <v>342</v>
      </c>
      <c r="H75" s="65">
        <v>366</v>
      </c>
      <c r="I75" s="52">
        <f t="shared" si="14"/>
        <v>47726429800</v>
      </c>
      <c r="J75" s="71">
        <f t="shared" si="15"/>
        <v>44596827845</v>
      </c>
    </row>
    <row r="76" spans="1:14" ht="19.5" customHeight="1">
      <c r="B76" s="57">
        <v>43610</v>
      </c>
      <c r="C76" s="53" t="s">
        <v>4</v>
      </c>
      <c r="D76" s="58">
        <f>D75+N71</f>
        <v>47726429883</v>
      </c>
      <c r="E76" s="57">
        <f t="shared" si="12"/>
        <v>43610</v>
      </c>
      <c r="F76" s="57">
        <v>43921</v>
      </c>
      <c r="G76" s="53">
        <f t="shared" si="13"/>
        <v>312</v>
      </c>
      <c r="H76" s="65">
        <v>366</v>
      </c>
      <c r="I76" s="52">
        <f t="shared" si="14"/>
        <v>47726429800</v>
      </c>
      <c r="J76" s="71">
        <f t="shared" si="15"/>
        <v>40684825403</v>
      </c>
      <c r="K76" s="98" t="s">
        <v>32</v>
      </c>
      <c r="L76" s="98"/>
      <c r="M76" s="98"/>
      <c r="N76" s="98"/>
    </row>
    <row r="77" spans="1:14" ht="19.5" customHeight="1">
      <c r="B77" s="57">
        <v>43641</v>
      </c>
      <c r="C77" s="53" t="s">
        <v>4</v>
      </c>
      <c r="D77" s="58">
        <f>D76+N76</f>
        <v>47726429883</v>
      </c>
      <c r="E77" s="57">
        <f t="shared" si="12"/>
        <v>43641</v>
      </c>
      <c r="F77" s="57">
        <v>43921</v>
      </c>
      <c r="G77" s="53">
        <f t="shared" si="13"/>
        <v>281</v>
      </c>
      <c r="H77" s="65">
        <v>366</v>
      </c>
      <c r="I77" s="52">
        <f t="shared" si="14"/>
        <v>47726429800</v>
      </c>
      <c r="J77" s="71">
        <f t="shared" si="15"/>
        <v>36642422879</v>
      </c>
    </row>
    <row r="78" spans="1:14" ht="19.5" customHeight="1">
      <c r="B78" s="57">
        <v>43671</v>
      </c>
      <c r="C78" s="53" t="s">
        <v>4</v>
      </c>
      <c r="D78" s="58">
        <f>D77+N73</f>
        <v>47726429883</v>
      </c>
      <c r="E78" s="57">
        <f t="shared" si="12"/>
        <v>43671</v>
      </c>
      <c r="F78" s="57">
        <v>43921</v>
      </c>
      <c r="G78" s="53">
        <f t="shared" si="13"/>
        <v>251</v>
      </c>
      <c r="H78" s="65">
        <v>366</v>
      </c>
      <c r="I78" s="52">
        <f t="shared" si="14"/>
        <v>47726429800</v>
      </c>
      <c r="J78" s="71">
        <f t="shared" si="15"/>
        <v>32730420436</v>
      </c>
    </row>
    <row r="79" spans="1:14" ht="19.5" customHeight="1">
      <c r="B79" s="57">
        <v>43702</v>
      </c>
      <c r="C79" s="53" t="s">
        <v>4</v>
      </c>
      <c r="D79" s="58">
        <f>D78+N74</f>
        <v>47726429883</v>
      </c>
      <c r="E79" s="57">
        <f t="shared" si="12"/>
        <v>43702</v>
      </c>
      <c r="F79" s="57">
        <v>43921</v>
      </c>
      <c r="G79" s="53">
        <f t="shared" si="13"/>
        <v>220</v>
      </c>
      <c r="H79" s="65">
        <v>366</v>
      </c>
      <c r="I79" s="52">
        <f t="shared" si="14"/>
        <v>47726429800</v>
      </c>
      <c r="J79" s="71">
        <f t="shared" si="15"/>
        <v>28688017912</v>
      </c>
    </row>
    <row r="80" spans="1:14" ht="19.5" customHeight="1" thickBot="1">
      <c r="B80" s="57">
        <v>43733</v>
      </c>
      <c r="C80" s="53" t="s">
        <v>4</v>
      </c>
      <c r="D80" s="58">
        <f>D79+N75</f>
        <v>47726429883</v>
      </c>
      <c r="E80" s="57">
        <f t="shared" si="12"/>
        <v>43733</v>
      </c>
      <c r="F80" s="57">
        <v>43921</v>
      </c>
      <c r="G80" s="53">
        <f t="shared" si="13"/>
        <v>189</v>
      </c>
      <c r="H80" s="65">
        <v>366</v>
      </c>
      <c r="I80" s="52">
        <f t="shared" si="14"/>
        <v>47726429800</v>
      </c>
      <c r="J80" s="71">
        <f t="shared" si="15"/>
        <v>24645615388</v>
      </c>
    </row>
    <row r="81" spans="1:14" ht="19.5" customHeight="1" thickBot="1">
      <c r="B81" s="57">
        <v>43763</v>
      </c>
      <c r="C81" s="53" t="s">
        <v>4</v>
      </c>
      <c r="D81" s="58">
        <v>0</v>
      </c>
      <c r="E81" s="57">
        <f t="shared" si="12"/>
        <v>43763</v>
      </c>
      <c r="F81" s="57">
        <v>43921</v>
      </c>
      <c r="G81" s="53">
        <f t="shared" si="13"/>
        <v>159</v>
      </c>
      <c r="H81" s="65">
        <v>366</v>
      </c>
      <c r="I81" s="52">
        <f t="shared" si="14"/>
        <v>0</v>
      </c>
      <c r="J81" s="71">
        <f t="shared" si="15"/>
        <v>0</v>
      </c>
      <c r="K81" s="94" t="s">
        <v>15</v>
      </c>
      <c r="L81" s="95"/>
      <c r="M81" s="95"/>
      <c r="N81" s="96"/>
    </row>
    <row r="82" spans="1:14" ht="19.5" customHeight="1">
      <c r="B82" s="57">
        <v>43794</v>
      </c>
      <c r="C82" s="53" t="s">
        <v>4</v>
      </c>
      <c r="D82" s="58">
        <v>0</v>
      </c>
      <c r="E82" s="57">
        <f t="shared" si="12"/>
        <v>43794</v>
      </c>
      <c r="F82" s="57">
        <v>43921</v>
      </c>
      <c r="G82" s="53">
        <f t="shared" si="13"/>
        <v>128</v>
      </c>
      <c r="H82" s="65">
        <v>366</v>
      </c>
      <c r="I82" s="52">
        <f t="shared" si="14"/>
        <v>0</v>
      </c>
      <c r="J82" s="71">
        <f t="shared" si="15"/>
        <v>0</v>
      </c>
      <c r="K82" s="59" t="s">
        <v>11</v>
      </c>
      <c r="L82" s="60" t="s">
        <v>12</v>
      </c>
      <c r="M82" s="60" t="s">
        <v>13</v>
      </c>
      <c r="N82" s="61" t="s">
        <v>14</v>
      </c>
    </row>
    <row r="83" spans="1:14" ht="19.5" customHeight="1" thickBot="1">
      <c r="B83" s="57">
        <v>43824</v>
      </c>
      <c r="C83" s="53" t="s">
        <v>4</v>
      </c>
      <c r="D83" s="58">
        <v>0</v>
      </c>
      <c r="E83" s="57">
        <f t="shared" si="12"/>
        <v>43824</v>
      </c>
      <c r="F83" s="57">
        <v>43921</v>
      </c>
      <c r="G83" s="53">
        <f t="shared" si="13"/>
        <v>98</v>
      </c>
      <c r="H83" s="65">
        <v>366</v>
      </c>
      <c r="I83" s="52">
        <f t="shared" si="14"/>
        <v>0</v>
      </c>
      <c r="J83" s="71">
        <f t="shared" si="15"/>
        <v>0</v>
      </c>
      <c r="K83" s="62">
        <f>ROUNDDOWN(J87*1.6/100,0)</f>
        <v>4091432954</v>
      </c>
      <c r="L83" s="63">
        <f>ROUNDDOWN(K83*0.15315,0)</f>
        <v>626602956</v>
      </c>
      <c r="M83" s="56">
        <f>ROUNDDOWN(K83*0.05,0)</f>
        <v>204571647</v>
      </c>
      <c r="N83" s="64">
        <f>K83-L83-M83</f>
        <v>3260258351</v>
      </c>
    </row>
    <row r="84" spans="1:14" ht="19.5" customHeight="1">
      <c r="B84" s="57">
        <v>43855</v>
      </c>
      <c r="C84" s="53" t="s">
        <v>4</v>
      </c>
      <c r="D84" s="58">
        <v>0</v>
      </c>
      <c r="E84" s="57">
        <f t="shared" si="12"/>
        <v>43855</v>
      </c>
      <c r="F84" s="57">
        <v>43921</v>
      </c>
      <c r="G84" s="53">
        <f t="shared" si="13"/>
        <v>67</v>
      </c>
      <c r="H84" s="65">
        <v>366</v>
      </c>
      <c r="I84" s="52">
        <f t="shared" si="14"/>
        <v>0</v>
      </c>
      <c r="J84" s="71">
        <f t="shared" si="15"/>
        <v>0</v>
      </c>
      <c r="L84" s="53" t="s">
        <v>16</v>
      </c>
    </row>
    <row r="85" spans="1:14" ht="19.5" customHeight="1">
      <c r="B85" s="57">
        <v>43886</v>
      </c>
      <c r="C85" s="53" t="s">
        <v>4</v>
      </c>
      <c r="D85" s="58">
        <v>0</v>
      </c>
      <c r="E85" s="57">
        <f t="shared" si="12"/>
        <v>43886</v>
      </c>
      <c r="F85" s="57">
        <v>43921</v>
      </c>
      <c r="G85" s="65">
        <f t="shared" si="13"/>
        <v>36</v>
      </c>
      <c r="H85" s="65">
        <v>366</v>
      </c>
      <c r="I85" s="52">
        <f t="shared" si="14"/>
        <v>0</v>
      </c>
      <c r="J85" s="71">
        <f t="shared" si="15"/>
        <v>0</v>
      </c>
    </row>
    <row r="86" spans="1:14" ht="19.5" customHeight="1">
      <c r="B86" s="57">
        <v>43915</v>
      </c>
      <c r="C86" s="53" t="s">
        <v>4</v>
      </c>
      <c r="D86" s="58">
        <v>0</v>
      </c>
      <c r="E86" s="57">
        <f t="shared" si="12"/>
        <v>43915</v>
      </c>
      <c r="F86" s="57">
        <v>43921</v>
      </c>
      <c r="G86" s="53">
        <f t="shared" si="13"/>
        <v>7</v>
      </c>
      <c r="H86" s="65">
        <v>366</v>
      </c>
      <c r="I86" s="52">
        <f t="shared" si="14"/>
        <v>0</v>
      </c>
      <c r="J86" s="71">
        <f t="shared" si="15"/>
        <v>0</v>
      </c>
    </row>
    <row r="87" spans="1:14" ht="19.5" customHeight="1">
      <c r="D87" s="58">
        <f>SUM(D74:D86)</f>
        <v>334085009181</v>
      </c>
      <c r="J87" s="71">
        <f>SUM(J74:J86)</f>
        <v>255714559663</v>
      </c>
    </row>
    <row r="88" spans="1:14" ht="19.5" customHeight="1">
      <c r="A88" s="53" t="s">
        <v>33</v>
      </c>
      <c r="B88" s="57">
        <v>43922</v>
      </c>
      <c r="C88" s="53" t="s">
        <v>5</v>
      </c>
      <c r="D88" s="58">
        <f>D87+N83</f>
        <v>337345267532</v>
      </c>
      <c r="E88" s="57">
        <f t="shared" ref="E88:E100" si="16">B88</f>
        <v>43922</v>
      </c>
      <c r="F88" s="57">
        <v>44286</v>
      </c>
      <c r="G88" s="53">
        <f t="shared" ref="G88:G100" si="17">F88-B88+1</f>
        <v>365</v>
      </c>
      <c r="H88" s="53">
        <v>365</v>
      </c>
      <c r="I88" s="52">
        <f t="shared" ref="I88:I100" si="18">ROUNDDOWN(D88/100,0)*100</f>
        <v>337345267500</v>
      </c>
      <c r="J88" s="71">
        <f t="shared" ref="J88:J100" si="19">ROUNDDOWN(I88*G88/H88,0)</f>
        <v>337345267500</v>
      </c>
    </row>
    <row r="89" spans="1:14" ht="19.5" customHeight="1">
      <c r="B89" s="57">
        <v>43946</v>
      </c>
      <c r="C89" s="53" t="s">
        <v>4</v>
      </c>
      <c r="D89" s="58">
        <v>0</v>
      </c>
      <c r="E89" s="57">
        <f t="shared" si="16"/>
        <v>43946</v>
      </c>
      <c r="F89" s="57">
        <v>44286</v>
      </c>
      <c r="G89" s="53">
        <f t="shared" si="17"/>
        <v>341</v>
      </c>
      <c r="H89" s="53">
        <v>365</v>
      </c>
      <c r="I89" s="52">
        <f t="shared" si="18"/>
        <v>0</v>
      </c>
      <c r="J89" s="71">
        <f t="shared" si="19"/>
        <v>0</v>
      </c>
    </row>
    <row r="90" spans="1:14" ht="19.5" customHeight="1">
      <c r="B90" s="57">
        <v>43976</v>
      </c>
      <c r="C90" s="53" t="s">
        <v>4</v>
      </c>
      <c r="D90" s="58">
        <v>0</v>
      </c>
      <c r="E90" s="57">
        <f t="shared" si="16"/>
        <v>43976</v>
      </c>
      <c r="F90" s="57">
        <v>44286</v>
      </c>
      <c r="G90" s="53">
        <f t="shared" si="17"/>
        <v>311</v>
      </c>
      <c r="H90" s="53">
        <v>365</v>
      </c>
      <c r="I90" s="52">
        <f t="shared" si="18"/>
        <v>0</v>
      </c>
      <c r="J90" s="71">
        <f t="shared" si="19"/>
        <v>0</v>
      </c>
    </row>
    <row r="91" spans="1:14" ht="19.5" customHeight="1">
      <c r="B91" s="57">
        <v>44007</v>
      </c>
      <c r="C91" s="53" t="s">
        <v>4</v>
      </c>
      <c r="D91" s="58">
        <v>0</v>
      </c>
      <c r="E91" s="57">
        <f t="shared" si="16"/>
        <v>44007</v>
      </c>
      <c r="F91" s="57">
        <v>44286</v>
      </c>
      <c r="G91" s="53">
        <f t="shared" si="17"/>
        <v>280</v>
      </c>
      <c r="H91" s="53">
        <v>365</v>
      </c>
      <c r="I91" s="52">
        <f t="shared" si="18"/>
        <v>0</v>
      </c>
      <c r="J91" s="71">
        <f t="shared" si="19"/>
        <v>0</v>
      </c>
    </row>
    <row r="92" spans="1:14" ht="19.5" customHeight="1">
      <c r="B92" s="57">
        <v>44037</v>
      </c>
      <c r="C92" s="53" t="s">
        <v>4</v>
      </c>
      <c r="D92" s="58"/>
      <c r="E92" s="57">
        <f t="shared" si="16"/>
        <v>44037</v>
      </c>
      <c r="F92" s="57">
        <v>44286</v>
      </c>
      <c r="G92" s="53">
        <f t="shared" si="17"/>
        <v>250</v>
      </c>
      <c r="H92" s="53">
        <v>365</v>
      </c>
      <c r="I92" s="52">
        <f t="shared" si="18"/>
        <v>0</v>
      </c>
      <c r="J92" s="71">
        <f t="shared" si="19"/>
        <v>0</v>
      </c>
    </row>
    <row r="93" spans="1:14" ht="19.5" customHeight="1">
      <c r="B93" s="57">
        <v>44068</v>
      </c>
      <c r="C93" s="53" t="s">
        <v>4</v>
      </c>
      <c r="D93" s="58"/>
      <c r="E93" s="57">
        <f t="shared" si="16"/>
        <v>44068</v>
      </c>
      <c r="F93" s="57">
        <v>44286</v>
      </c>
      <c r="G93" s="53">
        <f t="shared" si="17"/>
        <v>219</v>
      </c>
      <c r="H93" s="53">
        <v>365</v>
      </c>
      <c r="I93" s="52">
        <f t="shared" si="18"/>
        <v>0</v>
      </c>
      <c r="J93" s="71">
        <f t="shared" si="19"/>
        <v>0</v>
      </c>
    </row>
    <row r="94" spans="1:14" ht="19.5" customHeight="1" thickBot="1">
      <c r="B94" s="57">
        <v>44099</v>
      </c>
      <c r="C94" s="53" t="s">
        <v>4</v>
      </c>
      <c r="D94" s="58">
        <v>0</v>
      </c>
      <c r="E94" s="57">
        <f t="shared" si="16"/>
        <v>44099</v>
      </c>
      <c r="F94" s="57">
        <v>44286</v>
      </c>
      <c r="G94" s="53">
        <f t="shared" si="17"/>
        <v>188</v>
      </c>
      <c r="H94" s="53">
        <v>365</v>
      </c>
      <c r="I94" s="52">
        <f t="shared" si="18"/>
        <v>0</v>
      </c>
      <c r="J94" s="71">
        <f t="shared" si="19"/>
        <v>0</v>
      </c>
    </row>
    <row r="95" spans="1:14" ht="19.5" customHeight="1" thickBot="1">
      <c r="B95" s="57">
        <v>44129</v>
      </c>
      <c r="C95" s="53" t="s">
        <v>4</v>
      </c>
      <c r="D95" s="58">
        <v>0</v>
      </c>
      <c r="E95" s="57">
        <f t="shared" si="16"/>
        <v>44129</v>
      </c>
      <c r="F95" s="57">
        <v>44286</v>
      </c>
      <c r="G95" s="53">
        <f t="shared" si="17"/>
        <v>158</v>
      </c>
      <c r="H95" s="53">
        <v>365</v>
      </c>
      <c r="I95" s="52">
        <f t="shared" si="18"/>
        <v>0</v>
      </c>
      <c r="J95" s="71">
        <f t="shared" si="19"/>
        <v>0</v>
      </c>
      <c r="K95" s="94" t="s">
        <v>15</v>
      </c>
      <c r="L95" s="95"/>
      <c r="M95" s="95"/>
      <c r="N95" s="96"/>
    </row>
    <row r="96" spans="1:14" ht="19.5" customHeight="1">
      <c r="B96" s="57">
        <v>44160</v>
      </c>
      <c r="C96" s="53" t="s">
        <v>4</v>
      </c>
      <c r="D96" s="58">
        <v>0</v>
      </c>
      <c r="E96" s="57">
        <f t="shared" si="16"/>
        <v>44160</v>
      </c>
      <c r="F96" s="57">
        <v>44286</v>
      </c>
      <c r="G96" s="53">
        <f t="shared" si="17"/>
        <v>127</v>
      </c>
      <c r="H96" s="53">
        <v>365</v>
      </c>
      <c r="I96" s="52">
        <f t="shared" si="18"/>
        <v>0</v>
      </c>
      <c r="J96" s="71">
        <f t="shared" si="19"/>
        <v>0</v>
      </c>
      <c r="K96" s="59" t="s">
        <v>11</v>
      </c>
      <c r="L96" s="60" t="s">
        <v>12</v>
      </c>
      <c r="M96" s="60" t="s">
        <v>13</v>
      </c>
      <c r="N96" s="61" t="s">
        <v>14</v>
      </c>
    </row>
    <row r="97" spans="1:14" ht="19.5" customHeight="1" thickBot="1">
      <c r="B97" s="57">
        <v>44190</v>
      </c>
      <c r="C97" s="53" t="s">
        <v>4</v>
      </c>
      <c r="D97" s="58">
        <v>0</v>
      </c>
      <c r="E97" s="57">
        <f t="shared" si="16"/>
        <v>44190</v>
      </c>
      <c r="F97" s="57">
        <v>44286</v>
      </c>
      <c r="G97" s="53">
        <f t="shared" si="17"/>
        <v>97</v>
      </c>
      <c r="H97" s="53">
        <v>365</v>
      </c>
      <c r="I97" s="52">
        <f t="shared" si="18"/>
        <v>0</v>
      </c>
      <c r="J97" s="71">
        <f t="shared" si="19"/>
        <v>0</v>
      </c>
      <c r="K97" s="62">
        <f>ROUNDDOWN(J101*1.6/100,0)</f>
        <v>5397524280</v>
      </c>
      <c r="L97" s="63">
        <f>ROUNDDOWN(K97*0.15315,0)</f>
        <v>826630843</v>
      </c>
      <c r="M97" s="56">
        <f>ROUNDDOWN(K97*0.05,0)</f>
        <v>269876214</v>
      </c>
      <c r="N97" s="64">
        <f>K97-L97-M97</f>
        <v>4301017223</v>
      </c>
    </row>
    <row r="98" spans="1:14" ht="19.5" customHeight="1">
      <c r="B98" s="57">
        <v>44221</v>
      </c>
      <c r="C98" s="53" t="s">
        <v>4</v>
      </c>
      <c r="D98" s="58">
        <v>0</v>
      </c>
      <c r="E98" s="57">
        <f t="shared" si="16"/>
        <v>44221</v>
      </c>
      <c r="F98" s="57">
        <v>44286</v>
      </c>
      <c r="G98" s="53">
        <f t="shared" si="17"/>
        <v>66</v>
      </c>
      <c r="H98" s="53">
        <v>365</v>
      </c>
      <c r="I98" s="52">
        <f t="shared" si="18"/>
        <v>0</v>
      </c>
      <c r="J98" s="71">
        <f t="shared" si="19"/>
        <v>0</v>
      </c>
      <c r="L98" s="53" t="s">
        <v>16</v>
      </c>
    </row>
    <row r="99" spans="1:14" ht="19.5" customHeight="1">
      <c r="B99" s="57">
        <v>44252</v>
      </c>
      <c r="C99" s="53" t="s">
        <v>4</v>
      </c>
      <c r="D99" s="58">
        <v>0</v>
      </c>
      <c r="E99" s="57">
        <f t="shared" si="16"/>
        <v>44252</v>
      </c>
      <c r="F99" s="57">
        <v>44286</v>
      </c>
      <c r="G99" s="53">
        <f t="shared" si="17"/>
        <v>35</v>
      </c>
      <c r="H99" s="53">
        <v>365</v>
      </c>
      <c r="I99" s="52">
        <f t="shared" si="18"/>
        <v>0</v>
      </c>
      <c r="J99" s="71">
        <f t="shared" si="19"/>
        <v>0</v>
      </c>
    </row>
    <row r="100" spans="1:14" ht="19.5" customHeight="1">
      <c r="B100" s="57">
        <v>44280</v>
      </c>
      <c r="C100" s="53" t="s">
        <v>4</v>
      </c>
      <c r="D100" s="58">
        <v>0</v>
      </c>
      <c r="E100" s="57">
        <f t="shared" si="16"/>
        <v>44280</v>
      </c>
      <c r="F100" s="57">
        <v>44286</v>
      </c>
      <c r="G100" s="53">
        <f t="shared" si="17"/>
        <v>7</v>
      </c>
      <c r="H100" s="53">
        <v>365</v>
      </c>
      <c r="I100" s="52">
        <f t="shared" si="18"/>
        <v>0</v>
      </c>
      <c r="J100" s="71">
        <f t="shared" si="19"/>
        <v>0</v>
      </c>
    </row>
    <row r="101" spans="1:14" ht="19.5" customHeight="1">
      <c r="D101" s="58">
        <f>SUM(D88:D100)</f>
        <v>337345267532</v>
      </c>
      <c r="J101" s="71">
        <f>SUM(J88:J100)</f>
        <v>337345267500</v>
      </c>
    </row>
    <row r="102" spans="1:14" ht="19.5" customHeight="1">
      <c r="A102" s="53" t="s">
        <v>34</v>
      </c>
      <c r="B102" s="57">
        <v>44287</v>
      </c>
      <c r="C102" s="53" t="s">
        <v>5</v>
      </c>
      <c r="D102" s="66">
        <f>D101+N97</f>
        <v>341646284755</v>
      </c>
      <c r="E102" s="57">
        <f t="shared" ref="E102:E114" si="20">B102</f>
        <v>44287</v>
      </c>
      <c r="F102" s="57">
        <v>44651</v>
      </c>
      <c r="G102" s="53">
        <f t="shared" ref="G102:G114" si="21">F102-B102+1</f>
        <v>365</v>
      </c>
      <c r="H102" s="53">
        <v>365</v>
      </c>
      <c r="I102" s="52">
        <f t="shared" ref="I102:I114" si="22">ROUNDDOWN(D102/100,0)*100</f>
        <v>341646284700</v>
      </c>
      <c r="J102" s="71">
        <f t="shared" ref="J102:J114" si="23">ROUNDDOWN(I102*G102/H102,0)</f>
        <v>341646284700</v>
      </c>
    </row>
    <row r="103" spans="1:14" ht="19.5" customHeight="1">
      <c r="B103" s="57">
        <v>44311</v>
      </c>
      <c r="C103" s="53" t="s">
        <v>4</v>
      </c>
      <c r="D103" s="58">
        <v>0</v>
      </c>
      <c r="E103" s="57">
        <f t="shared" si="20"/>
        <v>44311</v>
      </c>
      <c r="F103" s="57">
        <v>44651</v>
      </c>
      <c r="G103" s="53">
        <f t="shared" si="21"/>
        <v>341</v>
      </c>
      <c r="H103" s="53">
        <v>365</v>
      </c>
      <c r="I103" s="52">
        <f t="shared" si="22"/>
        <v>0</v>
      </c>
      <c r="J103" s="71">
        <f t="shared" si="23"/>
        <v>0</v>
      </c>
    </row>
    <row r="104" spans="1:14" ht="19.5" customHeight="1">
      <c r="B104" s="57">
        <v>44341</v>
      </c>
      <c r="C104" s="53" t="s">
        <v>4</v>
      </c>
      <c r="D104" s="58">
        <v>0</v>
      </c>
      <c r="E104" s="57">
        <f t="shared" si="20"/>
        <v>44341</v>
      </c>
      <c r="F104" s="57">
        <v>44651</v>
      </c>
      <c r="G104" s="53">
        <f t="shared" si="21"/>
        <v>311</v>
      </c>
      <c r="H104" s="53">
        <v>365</v>
      </c>
      <c r="I104" s="52">
        <f t="shared" si="22"/>
        <v>0</v>
      </c>
      <c r="J104" s="71">
        <f t="shared" si="23"/>
        <v>0</v>
      </c>
    </row>
    <row r="105" spans="1:14" ht="19.5" customHeight="1">
      <c r="B105" s="57">
        <v>44372</v>
      </c>
      <c r="C105" s="53" t="s">
        <v>4</v>
      </c>
      <c r="D105" s="58">
        <v>0</v>
      </c>
      <c r="E105" s="57">
        <f t="shared" si="20"/>
        <v>44372</v>
      </c>
      <c r="F105" s="57">
        <v>44651</v>
      </c>
      <c r="G105" s="53">
        <f t="shared" si="21"/>
        <v>280</v>
      </c>
      <c r="H105" s="53">
        <v>365</v>
      </c>
      <c r="I105" s="52">
        <f t="shared" si="22"/>
        <v>0</v>
      </c>
      <c r="J105" s="71">
        <f t="shared" si="23"/>
        <v>0</v>
      </c>
    </row>
    <row r="106" spans="1:14" ht="19.5" customHeight="1">
      <c r="B106" s="57">
        <v>44402</v>
      </c>
      <c r="C106" s="53" t="s">
        <v>4</v>
      </c>
      <c r="D106" s="58">
        <v>0</v>
      </c>
      <c r="E106" s="57">
        <f t="shared" si="20"/>
        <v>44402</v>
      </c>
      <c r="F106" s="57">
        <v>44651</v>
      </c>
      <c r="G106" s="53">
        <f t="shared" si="21"/>
        <v>250</v>
      </c>
      <c r="H106" s="53">
        <v>365</v>
      </c>
      <c r="I106" s="52">
        <f t="shared" si="22"/>
        <v>0</v>
      </c>
      <c r="J106" s="71">
        <f t="shared" si="23"/>
        <v>0</v>
      </c>
    </row>
    <row r="107" spans="1:14" ht="19.5" customHeight="1">
      <c r="B107" s="57">
        <v>44433</v>
      </c>
      <c r="C107" s="53" t="s">
        <v>4</v>
      </c>
      <c r="D107" s="58">
        <v>0</v>
      </c>
      <c r="E107" s="57">
        <f t="shared" si="20"/>
        <v>44433</v>
      </c>
      <c r="F107" s="57">
        <v>44651</v>
      </c>
      <c r="G107" s="53">
        <f t="shared" si="21"/>
        <v>219</v>
      </c>
      <c r="H107" s="53">
        <v>365</v>
      </c>
      <c r="I107" s="52">
        <f t="shared" si="22"/>
        <v>0</v>
      </c>
      <c r="J107" s="71">
        <f t="shared" si="23"/>
        <v>0</v>
      </c>
    </row>
    <row r="108" spans="1:14" ht="19.5" customHeight="1" thickBot="1">
      <c r="B108" s="57">
        <v>44464</v>
      </c>
      <c r="C108" s="53" t="s">
        <v>4</v>
      </c>
      <c r="D108" s="58">
        <v>0</v>
      </c>
      <c r="E108" s="57">
        <f t="shared" si="20"/>
        <v>44464</v>
      </c>
      <c r="F108" s="57">
        <v>44651</v>
      </c>
      <c r="G108" s="53">
        <f t="shared" si="21"/>
        <v>188</v>
      </c>
      <c r="H108" s="53">
        <v>365</v>
      </c>
      <c r="I108" s="52">
        <f t="shared" si="22"/>
        <v>0</v>
      </c>
      <c r="J108" s="71">
        <f t="shared" si="23"/>
        <v>0</v>
      </c>
    </row>
    <row r="109" spans="1:14" ht="19.5" customHeight="1" thickBot="1">
      <c r="B109" s="57">
        <v>44494</v>
      </c>
      <c r="C109" s="53" t="s">
        <v>4</v>
      </c>
      <c r="D109" s="58">
        <v>0</v>
      </c>
      <c r="E109" s="57">
        <f t="shared" si="20"/>
        <v>44494</v>
      </c>
      <c r="F109" s="57">
        <v>44651</v>
      </c>
      <c r="G109" s="53">
        <f t="shared" si="21"/>
        <v>158</v>
      </c>
      <c r="H109" s="53">
        <v>365</v>
      </c>
      <c r="I109" s="52">
        <f t="shared" si="22"/>
        <v>0</v>
      </c>
      <c r="J109" s="71">
        <f t="shared" si="23"/>
        <v>0</v>
      </c>
      <c r="K109" s="94" t="s">
        <v>15</v>
      </c>
      <c r="L109" s="95"/>
      <c r="M109" s="95"/>
      <c r="N109" s="96"/>
    </row>
    <row r="110" spans="1:14" ht="19.5" customHeight="1">
      <c r="B110" s="57">
        <v>44525</v>
      </c>
      <c r="C110" s="53" t="s">
        <v>4</v>
      </c>
      <c r="D110" s="58">
        <v>0</v>
      </c>
      <c r="E110" s="57">
        <f t="shared" si="20"/>
        <v>44525</v>
      </c>
      <c r="F110" s="57">
        <v>44651</v>
      </c>
      <c r="G110" s="53">
        <f t="shared" si="21"/>
        <v>127</v>
      </c>
      <c r="H110" s="53">
        <v>365</v>
      </c>
      <c r="I110" s="52">
        <f t="shared" si="22"/>
        <v>0</v>
      </c>
      <c r="J110" s="71">
        <f t="shared" si="23"/>
        <v>0</v>
      </c>
      <c r="K110" s="59" t="s">
        <v>11</v>
      </c>
      <c r="L110" s="60" t="s">
        <v>12</v>
      </c>
      <c r="M110" s="60" t="s">
        <v>13</v>
      </c>
      <c r="N110" s="61" t="s">
        <v>14</v>
      </c>
    </row>
    <row r="111" spans="1:14" ht="19.5" customHeight="1" thickBot="1">
      <c r="B111" s="57">
        <v>44555</v>
      </c>
      <c r="C111" s="53" t="s">
        <v>4</v>
      </c>
      <c r="D111" s="58">
        <v>0</v>
      </c>
      <c r="E111" s="57">
        <f t="shared" si="20"/>
        <v>44555</v>
      </c>
      <c r="F111" s="57">
        <v>44651</v>
      </c>
      <c r="G111" s="53">
        <f t="shared" si="21"/>
        <v>97</v>
      </c>
      <c r="H111" s="53">
        <v>365</v>
      </c>
      <c r="I111" s="52">
        <f t="shared" si="22"/>
        <v>0</v>
      </c>
      <c r="J111" s="71">
        <f t="shared" si="23"/>
        <v>0</v>
      </c>
      <c r="K111" s="62">
        <f>ROUNDDOWN(J115*1.6/100,0)</f>
        <v>5466340555</v>
      </c>
      <c r="L111" s="63">
        <f>ROUNDDOWN(K111*0.15315,0)</f>
        <v>837170055</v>
      </c>
      <c r="M111" s="56">
        <f>ROUNDDOWN(K111*0.05,0)</f>
        <v>273317027</v>
      </c>
      <c r="N111" s="64">
        <f>K111-L111-M111</f>
        <v>4355853473</v>
      </c>
    </row>
    <row r="112" spans="1:14" ht="19.5" customHeight="1">
      <c r="B112" s="57">
        <v>44586</v>
      </c>
      <c r="C112" s="53" t="s">
        <v>4</v>
      </c>
      <c r="D112" s="58">
        <v>0</v>
      </c>
      <c r="E112" s="57">
        <f t="shared" si="20"/>
        <v>44586</v>
      </c>
      <c r="F112" s="57">
        <v>44651</v>
      </c>
      <c r="G112" s="53">
        <f t="shared" si="21"/>
        <v>66</v>
      </c>
      <c r="H112" s="53">
        <v>365</v>
      </c>
      <c r="I112" s="52">
        <f t="shared" si="22"/>
        <v>0</v>
      </c>
      <c r="J112" s="71">
        <f t="shared" si="23"/>
        <v>0</v>
      </c>
      <c r="L112" s="53" t="s">
        <v>16</v>
      </c>
    </row>
    <row r="113" spans="1:14" ht="19.5" customHeight="1">
      <c r="B113" s="57">
        <v>44617</v>
      </c>
      <c r="C113" s="53" t="s">
        <v>4</v>
      </c>
      <c r="D113" s="58">
        <v>0</v>
      </c>
      <c r="E113" s="57">
        <f t="shared" si="20"/>
        <v>44617</v>
      </c>
      <c r="F113" s="57">
        <v>44651</v>
      </c>
      <c r="G113" s="53">
        <f t="shared" si="21"/>
        <v>35</v>
      </c>
      <c r="H113" s="53">
        <v>365</v>
      </c>
      <c r="I113" s="52">
        <f t="shared" si="22"/>
        <v>0</v>
      </c>
      <c r="J113" s="71">
        <f t="shared" si="23"/>
        <v>0</v>
      </c>
    </row>
    <row r="114" spans="1:14" ht="19.5" customHeight="1">
      <c r="B114" s="57">
        <v>44645</v>
      </c>
      <c r="C114" s="53" t="s">
        <v>4</v>
      </c>
      <c r="D114" s="58">
        <v>0</v>
      </c>
      <c r="E114" s="57">
        <f t="shared" si="20"/>
        <v>44645</v>
      </c>
      <c r="F114" s="57">
        <v>44651</v>
      </c>
      <c r="G114" s="53">
        <f t="shared" si="21"/>
        <v>7</v>
      </c>
      <c r="H114" s="53">
        <v>365</v>
      </c>
      <c r="I114" s="52">
        <f t="shared" si="22"/>
        <v>0</v>
      </c>
      <c r="J114" s="71">
        <f t="shared" si="23"/>
        <v>0</v>
      </c>
    </row>
    <row r="115" spans="1:14" ht="19.5" customHeight="1">
      <c r="D115" s="58">
        <f>SUM(D102:D114)</f>
        <v>341646284755</v>
      </c>
      <c r="J115" s="71">
        <f>SUM(J102:J114)</f>
        <v>341646284700</v>
      </c>
    </row>
    <row r="116" spans="1:14" ht="19.5" customHeight="1">
      <c r="A116" s="53" t="s">
        <v>35</v>
      </c>
      <c r="B116" s="57">
        <v>44652</v>
      </c>
      <c r="C116" s="53" t="s">
        <v>5</v>
      </c>
      <c r="D116" s="66">
        <f>D115+N111</f>
        <v>346002138228</v>
      </c>
      <c r="E116" s="57">
        <f t="shared" ref="E116:E128" si="24">B116</f>
        <v>44652</v>
      </c>
      <c r="F116" s="57">
        <v>45016</v>
      </c>
      <c r="G116" s="53">
        <f t="shared" ref="G116:G128" si="25">F116-B116+1</f>
        <v>365</v>
      </c>
      <c r="H116" s="53">
        <v>365</v>
      </c>
      <c r="I116" s="52">
        <f t="shared" ref="I116:I128" si="26">ROUNDDOWN(D116/100,0)*100</f>
        <v>346002138200</v>
      </c>
      <c r="J116" s="74">
        <f t="shared" ref="J116:J128" si="27">ROUNDDOWN(I116*G116/H116,0)</f>
        <v>346002138200</v>
      </c>
    </row>
    <row r="117" spans="1:14" ht="19.5" customHeight="1">
      <c r="B117" s="57">
        <v>44676</v>
      </c>
      <c r="C117" s="53" t="s">
        <v>4</v>
      </c>
      <c r="D117" s="58">
        <v>0</v>
      </c>
      <c r="E117" s="57">
        <f t="shared" si="24"/>
        <v>44676</v>
      </c>
      <c r="F117" s="57">
        <v>45016</v>
      </c>
      <c r="G117" s="53">
        <f t="shared" si="25"/>
        <v>341</v>
      </c>
      <c r="H117" s="53">
        <v>365</v>
      </c>
      <c r="I117" s="52">
        <f t="shared" si="26"/>
        <v>0</v>
      </c>
      <c r="J117" s="74">
        <f t="shared" si="27"/>
        <v>0</v>
      </c>
    </row>
    <row r="118" spans="1:14" ht="19.5" customHeight="1">
      <c r="B118" s="57">
        <v>44706</v>
      </c>
      <c r="C118" s="53" t="s">
        <v>4</v>
      </c>
      <c r="D118" s="58">
        <v>0</v>
      </c>
      <c r="E118" s="57">
        <f t="shared" si="24"/>
        <v>44706</v>
      </c>
      <c r="F118" s="57">
        <v>45016</v>
      </c>
      <c r="G118" s="53">
        <f t="shared" si="25"/>
        <v>311</v>
      </c>
      <c r="H118" s="53">
        <v>365</v>
      </c>
      <c r="I118" s="52">
        <f t="shared" si="26"/>
        <v>0</v>
      </c>
      <c r="J118" s="74">
        <f t="shared" si="27"/>
        <v>0</v>
      </c>
    </row>
    <row r="119" spans="1:14" ht="19.5" customHeight="1">
      <c r="B119" s="57">
        <v>44737</v>
      </c>
      <c r="C119" s="53" t="s">
        <v>4</v>
      </c>
      <c r="D119" s="58">
        <v>0</v>
      </c>
      <c r="E119" s="57">
        <f t="shared" si="24"/>
        <v>44737</v>
      </c>
      <c r="F119" s="57">
        <v>45016</v>
      </c>
      <c r="G119" s="53">
        <f t="shared" si="25"/>
        <v>280</v>
      </c>
      <c r="H119" s="53">
        <v>365</v>
      </c>
      <c r="I119" s="52">
        <f t="shared" si="26"/>
        <v>0</v>
      </c>
      <c r="J119" s="74">
        <f t="shared" si="27"/>
        <v>0</v>
      </c>
    </row>
    <row r="120" spans="1:14" ht="19.5" customHeight="1">
      <c r="B120" s="57">
        <v>44767</v>
      </c>
      <c r="C120" s="53" t="s">
        <v>4</v>
      </c>
      <c r="D120" s="58">
        <v>0</v>
      </c>
      <c r="E120" s="57">
        <f t="shared" si="24"/>
        <v>44767</v>
      </c>
      <c r="F120" s="57">
        <v>45016</v>
      </c>
      <c r="G120" s="53">
        <f t="shared" si="25"/>
        <v>250</v>
      </c>
      <c r="H120" s="53">
        <v>365</v>
      </c>
      <c r="I120" s="52">
        <f t="shared" si="26"/>
        <v>0</v>
      </c>
      <c r="J120" s="74">
        <f t="shared" si="27"/>
        <v>0</v>
      </c>
    </row>
    <row r="121" spans="1:14" ht="19.5" customHeight="1">
      <c r="B121" s="57">
        <v>44798</v>
      </c>
      <c r="C121" s="53" t="s">
        <v>4</v>
      </c>
      <c r="D121" s="58">
        <v>0</v>
      </c>
      <c r="E121" s="57">
        <f t="shared" si="24"/>
        <v>44798</v>
      </c>
      <c r="F121" s="57">
        <v>45016</v>
      </c>
      <c r="G121" s="53">
        <f t="shared" si="25"/>
        <v>219</v>
      </c>
      <c r="H121" s="53">
        <v>365</v>
      </c>
      <c r="I121" s="52">
        <f t="shared" si="26"/>
        <v>0</v>
      </c>
      <c r="J121" s="74">
        <f t="shared" si="27"/>
        <v>0</v>
      </c>
    </row>
    <row r="122" spans="1:14" ht="19.5" customHeight="1" thickBot="1">
      <c r="B122" s="57">
        <v>44829</v>
      </c>
      <c r="C122" s="53" t="s">
        <v>4</v>
      </c>
      <c r="D122" s="58">
        <v>0</v>
      </c>
      <c r="E122" s="57">
        <f t="shared" si="24"/>
        <v>44829</v>
      </c>
      <c r="F122" s="57">
        <v>45016</v>
      </c>
      <c r="G122" s="53">
        <f t="shared" si="25"/>
        <v>188</v>
      </c>
      <c r="H122" s="53">
        <v>365</v>
      </c>
      <c r="I122" s="52">
        <f t="shared" si="26"/>
        <v>0</v>
      </c>
      <c r="J122" s="74">
        <f t="shared" si="27"/>
        <v>0</v>
      </c>
    </row>
    <row r="123" spans="1:14" ht="19.5" customHeight="1" thickBot="1">
      <c r="B123" s="57">
        <v>44859</v>
      </c>
      <c r="C123" s="53" t="s">
        <v>4</v>
      </c>
      <c r="D123" s="58">
        <v>0</v>
      </c>
      <c r="E123" s="57">
        <f t="shared" si="24"/>
        <v>44859</v>
      </c>
      <c r="F123" s="57">
        <v>45016</v>
      </c>
      <c r="G123" s="53">
        <f t="shared" si="25"/>
        <v>158</v>
      </c>
      <c r="H123" s="53">
        <v>365</v>
      </c>
      <c r="I123" s="52">
        <f t="shared" si="26"/>
        <v>0</v>
      </c>
      <c r="J123" s="74">
        <f t="shared" si="27"/>
        <v>0</v>
      </c>
      <c r="K123" s="94" t="s">
        <v>15</v>
      </c>
      <c r="L123" s="95"/>
      <c r="M123" s="95"/>
      <c r="N123" s="96"/>
    </row>
    <row r="124" spans="1:14" ht="19.5" customHeight="1">
      <c r="B124" s="57">
        <v>44890</v>
      </c>
      <c r="C124" s="53" t="s">
        <v>4</v>
      </c>
      <c r="D124" s="58">
        <v>0</v>
      </c>
      <c r="E124" s="57">
        <f t="shared" si="24"/>
        <v>44890</v>
      </c>
      <c r="F124" s="57">
        <v>45016</v>
      </c>
      <c r="G124" s="53">
        <f t="shared" si="25"/>
        <v>127</v>
      </c>
      <c r="H124" s="53">
        <v>365</v>
      </c>
      <c r="I124" s="52">
        <f t="shared" si="26"/>
        <v>0</v>
      </c>
      <c r="J124" s="74">
        <f t="shared" si="27"/>
        <v>0</v>
      </c>
      <c r="K124" s="59" t="s">
        <v>11</v>
      </c>
      <c r="L124" s="60" t="s">
        <v>12</v>
      </c>
      <c r="M124" s="60" t="s">
        <v>13</v>
      </c>
      <c r="N124" s="61" t="s">
        <v>14</v>
      </c>
    </row>
    <row r="125" spans="1:14" ht="19.5" customHeight="1" thickBot="1">
      <c r="B125" s="57">
        <v>44920</v>
      </c>
      <c r="C125" s="53" t="s">
        <v>4</v>
      </c>
      <c r="D125" s="58">
        <v>0</v>
      </c>
      <c r="E125" s="57">
        <f t="shared" si="24"/>
        <v>44920</v>
      </c>
      <c r="F125" s="57">
        <v>45016</v>
      </c>
      <c r="G125" s="53">
        <f t="shared" si="25"/>
        <v>97</v>
      </c>
      <c r="H125" s="53">
        <v>365</v>
      </c>
      <c r="I125" s="52">
        <f t="shared" si="26"/>
        <v>0</v>
      </c>
      <c r="J125" s="74">
        <f t="shared" si="27"/>
        <v>0</v>
      </c>
      <c r="K125" s="62">
        <f>ROUNDDOWN(J129*1.6/100,0)</f>
        <v>5536034211</v>
      </c>
      <c r="L125" s="63">
        <f>ROUNDDOWN(K125*0.15315,0)</f>
        <v>847843639</v>
      </c>
      <c r="M125" s="56">
        <f>ROUNDDOWN(K125*0.05,0)</f>
        <v>276801710</v>
      </c>
      <c r="N125" s="64">
        <f>K125-L125-M125</f>
        <v>4411388862</v>
      </c>
    </row>
    <row r="126" spans="1:14" ht="19.5" customHeight="1">
      <c r="B126" s="57">
        <v>44951</v>
      </c>
      <c r="C126" s="53" t="s">
        <v>4</v>
      </c>
      <c r="D126" s="58">
        <v>0</v>
      </c>
      <c r="E126" s="57">
        <f t="shared" si="24"/>
        <v>44951</v>
      </c>
      <c r="F126" s="57">
        <v>45016</v>
      </c>
      <c r="G126" s="53">
        <f t="shared" si="25"/>
        <v>66</v>
      </c>
      <c r="H126" s="53">
        <v>365</v>
      </c>
      <c r="I126" s="52">
        <f t="shared" si="26"/>
        <v>0</v>
      </c>
      <c r="J126" s="74">
        <f t="shared" si="27"/>
        <v>0</v>
      </c>
      <c r="L126" s="53" t="s">
        <v>16</v>
      </c>
    </row>
    <row r="127" spans="1:14" ht="19.5" customHeight="1">
      <c r="B127" s="57">
        <v>44982</v>
      </c>
      <c r="C127" s="53" t="s">
        <v>4</v>
      </c>
      <c r="D127" s="58">
        <v>0</v>
      </c>
      <c r="E127" s="57">
        <f t="shared" si="24"/>
        <v>44982</v>
      </c>
      <c r="F127" s="57">
        <v>45016</v>
      </c>
      <c r="G127" s="53">
        <f t="shared" si="25"/>
        <v>35</v>
      </c>
      <c r="H127" s="53">
        <v>365</v>
      </c>
      <c r="I127" s="52">
        <f t="shared" si="26"/>
        <v>0</v>
      </c>
      <c r="J127" s="74">
        <f t="shared" si="27"/>
        <v>0</v>
      </c>
    </row>
    <row r="128" spans="1:14" ht="19.5" customHeight="1">
      <c r="B128" s="57">
        <v>45010</v>
      </c>
      <c r="C128" s="53" t="s">
        <v>4</v>
      </c>
      <c r="D128" s="58">
        <v>0</v>
      </c>
      <c r="E128" s="57">
        <f t="shared" si="24"/>
        <v>45010</v>
      </c>
      <c r="F128" s="57">
        <v>45016</v>
      </c>
      <c r="G128" s="53">
        <f t="shared" si="25"/>
        <v>7</v>
      </c>
      <c r="H128" s="53">
        <v>365</v>
      </c>
      <c r="I128" s="52">
        <f t="shared" si="26"/>
        <v>0</v>
      </c>
      <c r="J128" s="74">
        <f t="shared" si="27"/>
        <v>0</v>
      </c>
    </row>
    <row r="129" spans="2:10" ht="19.5" customHeight="1">
      <c r="D129" s="58">
        <f>SUM(D116:D128)</f>
        <v>346002138228</v>
      </c>
      <c r="J129" s="74">
        <f>SUM(J116:J128)</f>
        <v>346002138200</v>
      </c>
    </row>
    <row r="130" spans="2:10" ht="19.5" customHeight="1">
      <c r="B130" s="57">
        <v>45017</v>
      </c>
      <c r="C130" s="53" t="s">
        <v>5</v>
      </c>
      <c r="D130" s="58">
        <f>D129+N125</f>
        <v>350413527090</v>
      </c>
      <c r="E130" s="57">
        <f>B130</f>
        <v>45017</v>
      </c>
      <c r="F130" s="57">
        <v>45382</v>
      </c>
      <c r="G130" s="53">
        <f>F130-B130+1</f>
        <v>366</v>
      </c>
      <c r="H130" s="53">
        <v>365</v>
      </c>
      <c r="I130" s="52">
        <f>ROUNDDOWN(D130/100,0)*100</f>
        <v>350413527000</v>
      </c>
      <c r="J130" s="74">
        <f>ROUNDDOWN(I130*G130/H130,0)</f>
        <v>351373564060</v>
      </c>
    </row>
  </sheetData>
  <mergeCells count="9">
    <mergeCell ref="K95:N95"/>
    <mergeCell ref="K109:N109"/>
    <mergeCell ref="K123:N123"/>
    <mergeCell ref="A1:F1"/>
    <mergeCell ref="K41:N41"/>
    <mergeCell ref="K55:N55"/>
    <mergeCell ref="K67:N67"/>
    <mergeCell ref="K76:N76"/>
    <mergeCell ref="K81:N81"/>
  </mergeCells>
  <phoneticPr fontId="2"/>
  <pageMargins left="0.75" right="0.75" top="1" bottom="1" header="0.51200000000000001" footer="0.51200000000000001"/>
  <pageSetup paperSize="9" scale="55" orientation="landscape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11"/>
  </sheetPr>
  <dimension ref="A1:S130"/>
  <sheetViews>
    <sheetView topLeftCell="A36" zoomScale="75" workbookViewId="0">
      <selection activeCell="A3" sqref="A3:N44"/>
    </sheetView>
  </sheetViews>
  <sheetFormatPr defaultRowHeight="17.25"/>
  <cols>
    <col min="1" max="1" width="11.875" style="53" bestFit="1" customWidth="1"/>
    <col min="2" max="2" width="14.625" style="53" bestFit="1" customWidth="1"/>
    <col min="3" max="3" width="11.875" style="53" bestFit="1" customWidth="1"/>
    <col min="4" max="4" width="23" style="53" bestFit="1" customWidth="1"/>
    <col min="5" max="6" width="14.625" style="53" bestFit="1" customWidth="1"/>
    <col min="7" max="8" width="11.875" style="53" bestFit="1" customWidth="1"/>
    <col min="9" max="9" width="21.625" style="52" bestFit="1" customWidth="1"/>
    <col min="10" max="10" width="20.25" style="71" bestFit="1" customWidth="1"/>
    <col min="11" max="12" width="20.25" style="53" customWidth="1"/>
    <col min="13" max="13" width="16.125" style="53" bestFit="1" customWidth="1"/>
    <col min="14" max="14" width="18.875" style="53" bestFit="1" customWidth="1"/>
    <col min="15" max="16384" width="9" style="53"/>
  </cols>
  <sheetData>
    <row r="1" spans="1:19" ht="18" customHeight="1">
      <c r="A1" s="97" t="s">
        <v>39</v>
      </c>
      <c r="B1" s="97"/>
      <c r="C1" s="97"/>
      <c r="D1" s="97"/>
      <c r="E1" s="97"/>
      <c r="F1" s="97"/>
    </row>
    <row r="3" spans="1:19" ht="19.5" customHeight="1" thickBot="1">
      <c r="B3" s="54" t="s">
        <v>1</v>
      </c>
      <c r="C3" s="54" t="s">
        <v>2</v>
      </c>
      <c r="D3" s="55" t="s">
        <v>3</v>
      </c>
      <c r="E3" s="55" t="s">
        <v>6</v>
      </c>
      <c r="F3" s="54" t="s">
        <v>7</v>
      </c>
      <c r="G3" s="54" t="s">
        <v>8</v>
      </c>
      <c r="H3" s="54" t="s">
        <v>9</v>
      </c>
      <c r="I3" s="56" t="s">
        <v>10</v>
      </c>
      <c r="J3" s="72"/>
      <c r="K3" s="54"/>
      <c r="L3" s="54"/>
      <c r="M3" s="54"/>
      <c r="N3" s="54"/>
      <c r="O3" s="54"/>
      <c r="P3" s="54"/>
      <c r="Q3" s="54"/>
      <c r="R3" s="54"/>
      <c r="S3" s="54"/>
    </row>
    <row r="4" spans="1:19" ht="19.5" customHeight="1">
      <c r="A4" s="53" t="s">
        <v>28</v>
      </c>
      <c r="B4" s="57">
        <v>42461</v>
      </c>
      <c r="C4" s="53" t="s">
        <v>5</v>
      </c>
      <c r="D4" s="58">
        <v>47015815639</v>
      </c>
      <c r="E4" s="57">
        <f t="shared" ref="E4:E42" si="0">B4</f>
        <v>42461</v>
      </c>
      <c r="F4" s="57">
        <v>42825</v>
      </c>
      <c r="G4" s="68">
        <f t="shared" ref="G4:G42" si="1">F4-B4+1</f>
        <v>365</v>
      </c>
      <c r="H4" s="53">
        <v>365</v>
      </c>
      <c r="I4" s="52">
        <f t="shared" ref="I4:I42" si="2">ROUNDDOWN(D4/100,0)*100</f>
        <v>47015815600</v>
      </c>
      <c r="J4" s="71">
        <f t="shared" ref="J4:J42" si="3">ROUNDDOWN(I4*G4/H4,0)</f>
        <v>47015815600</v>
      </c>
    </row>
    <row r="5" spans="1:19" ht="19.5" customHeight="1">
      <c r="B5" s="57">
        <v>42461</v>
      </c>
      <c r="C5" s="53" t="s">
        <v>37</v>
      </c>
      <c r="D5" s="58">
        <v>-3208874806</v>
      </c>
      <c r="E5" s="57">
        <f t="shared" si="0"/>
        <v>42461</v>
      </c>
      <c r="F5" s="57">
        <v>42825</v>
      </c>
      <c r="G5" s="68">
        <f t="shared" si="1"/>
        <v>365</v>
      </c>
      <c r="H5" s="53">
        <v>365</v>
      </c>
      <c r="I5" s="52">
        <f t="shared" si="2"/>
        <v>-3208874800</v>
      </c>
      <c r="J5" s="71">
        <f t="shared" si="3"/>
        <v>-3208874800</v>
      </c>
    </row>
    <row r="6" spans="1:19" ht="19.5" customHeight="1">
      <c r="B6" s="57">
        <v>42485</v>
      </c>
      <c r="C6" s="53" t="s">
        <v>4</v>
      </c>
      <c r="D6" s="58">
        <v>266549000</v>
      </c>
      <c r="E6" s="57">
        <f t="shared" si="0"/>
        <v>42485</v>
      </c>
      <c r="F6" s="57">
        <v>42825</v>
      </c>
      <c r="G6" s="68">
        <f t="shared" si="1"/>
        <v>341</v>
      </c>
      <c r="H6" s="53">
        <v>365</v>
      </c>
      <c r="I6" s="52">
        <f t="shared" si="2"/>
        <v>266549000</v>
      </c>
      <c r="J6" s="71">
        <f t="shared" si="3"/>
        <v>249022490</v>
      </c>
      <c r="K6" s="88"/>
      <c r="L6" s="87"/>
    </row>
    <row r="7" spans="1:19" ht="19.5" customHeight="1">
      <c r="B7" s="57">
        <v>42490</v>
      </c>
      <c r="C7" s="53" t="s">
        <v>0</v>
      </c>
      <c r="D7" s="58">
        <v>911073652</v>
      </c>
      <c r="E7" s="57">
        <f t="shared" si="0"/>
        <v>42490</v>
      </c>
      <c r="F7" s="57">
        <v>42825</v>
      </c>
      <c r="G7" s="68">
        <f t="shared" si="1"/>
        <v>336</v>
      </c>
      <c r="H7" s="53">
        <v>365</v>
      </c>
      <c r="I7" s="52">
        <f t="shared" si="2"/>
        <v>911073600</v>
      </c>
      <c r="J7" s="71">
        <f t="shared" si="3"/>
        <v>838686930</v>
      </c>
      <c r="K7" s="76"/>
      <c r="L7" s="87"/>
    </row>
    <row r="8" spans="1:19" ht="19.5" customHeight="1">
      <c r="B8" s="57">
        <v>42491</v>
      </c>
      <c r="C8" s="53" t="s">
        <v>37</v>
      </c>
      <c r="D8" s="58">
        <v>-356899681</v>
      </c>
      <c r="E8" s="57">
        <f t="shared" si="0"/>
        <v>42491</v>
      </c>
      <c r="F8" s="57">
        <v>42825</v>
      </c>
      <c r="G8" s="68">
        <f t="shared" si="1"/>
        <v>335</v>
      </c>
      <c r="H8" s="53">
        <v>365</v>
      </c>
      <c r="I8" s="52">
        <f t="shared" si="2"/>
        <v>-356899600</v>
      </c>
      <c r="J8" s="71">
        <f t="shared" si="3"/>
        <v>-327565386</v>
      </c>
      <c r="L8" s="87"/>
    </row>
    <row r="9" spans="1:19" ht="19.5" customHeight="1">
      <c r="B9" s="57">
        <v>42515</v>
      </c>
      <c r="C9" s="53" t="s">
        <v>4</v>
      </c>
      <c r="D9" s="58">
        <v>267786000</v>
      </c>
      <c r="E9" s="57">
        <f t="shared" si="0"/>
        <v>42515</v>
      </c>
      <c r="F9" s="57">
        <v>42825</v>
      </c>
      <c r="G9" s="68">
        <f t="shared" si="1"/>
        <v>311</v>
      </c>
      <c r="H9" s="53">
        <v>365</v>
      </c>
      <c r="I9" s="52">
        <f t="shared" si="2"/>
        <v>267786000</v>
      </c>
      <c r="J9" s="71">
        <f t="shared" si="3"/>
        <v>228168345</v>
      </c>
      <c r="K9" s="76"/>
      <c r="L9" s="87"/>
    </row>
    <row r="10" spans="1:19" ht="19.5" customHeight="1">
      <c r="B10" s="57">
        <v>42521</v>
      </c>
      <c r="C10" s="53" t="s">
        <v>0</v>
      </c>
      <c r="D10" s="58">
        <v>526583161</v>
      </c>
      <c r="E10" s="57">
        <f t="shared" si="0"/>
        <v>42521</v>
      </c>
      <c r="F10" s="57">
        <v>42825</v>
      </c>
      <c r="G10" s="68">
        <f t="shared" si="1"/>
        <v>305</v>
      </c>
      <c r="H10" s="53">
        <v>365</v>
      </c>
      <c r="I10" s="52">
        <f t="shared" si="2"/>
        <v>526583100</v>
      </c>
      <c r="J10" s="71">
        <f t="shared" si="3"/>
        <v>440021494</v>
      </c>
    </row>
    <row r="11" spans="1:19" ht="19.5" customHeight="1">
      <c r="B11" s="57">
        <v>42522</v>
      </c>
      <c r="C11" s="53" t="s">
        <v>37</v>
      </c>
      <c r="D11" s="58">
        <v>-489231212</v>
      </c>
      <c r="E11" s="57">
        <f t="shared" si="0"/>
        <v>42522</v>
      </c>
      <c r="F11" s="57">
        <v>42825</v>
      </c>
      <c r="G11" s="68">
        <f t="shared" si="1"/>
        <v>304</v>
      </c>
      <c r="H11" s="53">
        <v>365</v>
      </c>
      <c r="I11" s="52">
        <f t="shared" si="2"/>
        <v>-489231200</v>
      </c>
      <c r="J11" s="71">
        <f t="shared" si="3"/>
        <v>-407469273</v>
      </c>
    </row>
    <row r="12" spans="1:19" ht="19.5" customHeight="1">
      <c r="B12" s="57">
        <v>42546</v>
      </c>
      <c r="C12" s="53" t="s">
        <v>4</v>
      </c>
      <c r="D12" s="58">
        <v>270294000</v>
      </c>
      <c r="E12" s="57">
        <f t="shared" si="0"/>
        <v>42546</v>
      </c>
      <c r="F12" s="57">
        <v>42825</v>
      </c>
      <c r="G12" s="68">
        <f t="shared" si="1"/>
        <v>280</v>
      </c>
      <c r="H12" s="53">
        <v>365</v>
      </c>
      <c r="I12" s="52">
        <f t="shared" si="2"/>
        <v>270294000</v>
      </c>
      <c r="J12" s="71">
        <f t="shared" si="3"/>
        <v>207348821</v>
      </c>
    </row>
    <row r="13" spans="1:19" ht="19.5" customHeight="1">
      <c r="B13" s="57">
        <v>42551</v>
      </c>
      <c r="C13" s="53" t="s">
        <v>0</v>
      </c>
      <c r="D13" s="58">
        <v>202192364</v>
      </c>
      <c r="E13" s="57">
        <f t="shared" si="0"/>
        <v>42551</v>
      </c>
      <c r="F13" s="57">
        <v>42825</v>
      </c>
      <c r="G13" s="68">
        <f t="shared" si="1"/>
        <v>275</v>
      </c>
      <c r="H13" s="53">
        <v>365</v>
      </c>
      <c r="I13" s="52">
        <f t="shared" si="2"/>
        <v>202192300</v>
      </c>
      <c r="J13" s="71">
        <f t="shared" si="3"/>
        <v>152336664</v>
      </c>
    </row>
    <row r="14" spans="1:19" ht="19.5" customHeight="1">
      <c r="B14" s="57">
        <v>42552</v>
      </c>
      <c r="C14" s="53" t="s">
        <v>37</v>
      </c>
      <c r="D14" s="58">
        <v>-261942287</v>
      </c>
      <c r="E14" s="57">
        <f t="shared" si="0"/>
        <v>42552</v>
      </c>
      <c r="F14" s="57">
        <v>42825</v>
      </c>
      <c r="G14" s="68">
        <f t="shared" si="1"/>
        <v>274</v>
      </c>
      <c r="H14" s="53">
        <v>365</v>
      </c>
      <c r="I14" s="52">
        <f t="shared" si="2"/>
        <v>-261942200</v>
      </c>
      <c r="J14" s="71">
        <f t="shared" si="3"/>
        <v>-196636062</v>
      </c>
    </row>
    <row r="15" spans="1:19" ht="19.5" customHeight="1">
      <c r="B15" s="57">
        <v>42556</v>
      </c>
      <c r="C15" s="53" t="s">
        <v>38</v>
      </c>
      <c r="D15" s="58">
        <v>275425000</v>
      </c>
      <c r="E15" s="57">
        <f t="shared" si="0"/>
        <v>42556</v>
      </c>
      <c r="F15" s="57">
        <v>42825</v>
      </c>
      <c r="G15" s="68">
        <f t="shared" si="1"/>
        <v>270</v>
      </c>
      <c r="H15" s="53">
        <v>365</v>
      </c>
      <c r="I15" s="52">
        <f t="shared" si="2"/>
        <v>275425000</v>
      </c>
      <c r="J15" s="71">
        <f t="shared" si="3"/>
        <v>203739041</v>
      </c>
    </row>
    <row r="16" spans="1:19" ht="19.5" customHeight="1">
      <c r="B16" s="57">
        <v>42576</v>
      </c>
      <c r="C16" s="53" t="s">
        <v>4</v>
      </c>
      <c r="D16" s="58">
        <v>272011500</v>
      </c>
      <c r="E16" s="57">
        <f t="shared" si="0"/>
        <v>42576</v>
      </c>
      <c r="F16" s="57">
        <v>42825</v>
      </c>
      <c r="G16" s="68">
        <f t="shared" si="1"/>
        <v>250</v>
      </c>
      <c r="H16" s="53">
        <v>365</v>
      </c>
      <c r="I16" s="52">
        <f t="shared" si="2"/>
        <v>272011500</v>
      </c>
      <c r="J16" s="71">
        <f t="shared" si="3"/>
        <v>186309246</v>
      </c>
    </row>
    <row r="17" spans="1:13" ht="19.5" customHeight="1">
      <c r="B17" s="57">
        <v>42581</v>
      </c>
      <c r="C17" s="53" t="s">
        <v>0</v>
      </c>
      <c r="D17" s="58">
        <v>684940232</v>
      </c>
      <c r="E17" s="57">
        <f t="shared" si="0"/>
        <v>42581</v>
      </c>
      <c r="F17" s="57">
        <v>42825</v>
      </c>
      <c r="G17" s="68">
        <f t="shared" si="1"/>
        <v>245</v>
      </c>
      <c r="H17" s="53">
        <v>365</v>
      </c>
      <c r="I17" s="52">
        <f t="shared" si="2"/>
        <v>684940200</v>
      </c>
      <c r="J17" s="71">
        <f t="shared" si="3"/>
        <v>459754380</v>
      </c>
    </row>
    <row r="18" spans="1:13" ht="19.5" customHeight="1">
      <c r="B18" s="57">
        <v>42583</v>
      </c>
      <c r="C18" s="53" t="s">
        <v>37</v>
      </c>
      <c r="D18" s="58">
        <v>-325768085</v>
      </c>
      <c r="E18" s="57">
        <f t="shared" si="0"/>
        <v>42583</v>
      </c>
      <c r="F18" s="57">
        <v>42825</v>
      </c>
      <c r="G18" s="68">
        <f t="shared" si="1"/>
        <v>243</v>
      </c>
      <c r="H18" s="53">
        <v>365</v>
      </c>
      <c r="I18" s="52">
        <f t="shared" si="2"/>
        <v>-325768000</v>
      </c>
      <c r="J18" s="71">
        <f t="shared" si="3"/>
        <v>-216881161</v>
      </c>
    </row>
    <row r="19" spans="1:13" ht="19.5" customHeight="1">
      <c r="B19" s="57">
        <v>42607</v>
      </c>
      <c r="C19" s="53" t="s">
        <v>4</v>
      </c>
      <c r="D19" s="58">
        <v>273418500</v>
      </c>
      <c r="E19" s="57">
        <f t="shared" si="0"/>
        <v>42607</v>
      </c>
      <c r="F19" s="57">
        <v>42825</v>
      </c>
      <c r="G19" s="68">
        <f t="shared" si="1"/>
        <v>219</v>
      </c>
      <c r="H19" s="53">
        <v>365</v>
      </c>
      <c r="I19" s="52">
        <f t="shared" si="2"/>
        <v>273418500</v>
      </c>
      <c r="J19" s="71">
        <f t="shared" si="3"/>
        <v>164051100</v>
      </c>
    </row>
    <row r="20" spans="1:13" ht="19.5" customHeight="1">
      <c r="B20" s="57">
        <v>42612</v>
      </c>
      <c r="C20" s="53" t="s">
        <v>0</v>
      </c>
      <c r="D20" s="58">
        <v>322665000</v>
      </c>
      <c r="E20" s="57">
        <f t="shared" si="0"/>
        <v>42612</v>
      </c>
      <c r="F20" s="57">
        <v>42825</v>
      </c>
      <c r="G20" s="68">
        <f t="shared" si="1"/>
        <v>214</v>
      </c>
      <c r="H20" s="53">
        <v>365</v>
      </c>
      <c r="I20" s="52">
        <f t="shared" si="2"/>
        <v>322665000</v>
      </c>
      <c r="J20" s="71">
        <f t="shared" si="3"/>
        <v>189178931</v>
      </c>
    </row>
    <row r="21" spans="1:13" ht="19.5" customHeight="1">
      <c r="B21" s="57">
        <v>42614</v>
      </c>
      <c r="C21" s="53" t="s">
        <v>37</v>
      </c>
      <c r="D21" s="58">
        <v>-354163128</v>
      </c>
      <c r="E21" s="57">
        <f t="shared" si="0"/>
        <v>42614</v>
      </c>
      <c r="F21" s="57">
        <v>42825</v>
      </c>
      <c r="G21" s="68">
        <f t="shared" si="1"/>
        <v>212</v>
      </c>
      <c r="H21" s="53">
        <v>365</v>
      </c>
      <c r="I21" s="52">
        <f t="shared" si="2"/>
        <v>-354163100</v>
      </c>
      <c r="J21" s="71">
        <f t="shared" si="3"/>
        <v>-205705690</v>
      </c>
    </row>
    <row r="22" spans="1:13" ht="19.5" customHeight="1">
      <c r="B22" s="57">
        <v>42638</v>
      </c>
      <c r="C22" s="53" t="s">
        <v>4</v>
      </c>
      <c r="D22" s="58">
        <v>273827500</v>
      </c>
      <c r="E22" s="57">
        <f t="shared" si="0"/>
        <v>42638</v>
      </c>
      <c r="F22" s="57">
        <v>42825</v>
      </c>
      <c r="G22" s="68">
        <f t="shared" si="1"/>
        <v>188</v>
      </c>
      <c r="H22" s="53">
        <v>365</v>
      </c>
      <c r="I22" s="52">
        <f t="shared" si="2"/>
        <v>273827500</v>
      </c>
      <c r="J22" s="71">
        <f t="shared" si="3"/>
        <v>141039917</v>
      </c>
      <c r="K22" s="76"/>
      <c r="L22" s="87"/>
    </row>
    <row r="23" spans="1:13" ht="19.5" customHeight="1">
      <c r="B23" s="57">
        <v>42643</v>
      </c>
      <c r="C23" s="53" t="s">
        <v>0</v>
      </c>
      <c r="D23" s="58">
        <v>293471000</v>
      </c>
      <c r="E23" s="57">
        <f t="shared" si="0"/>
        <v>42643</v>
      </c>
      <c r="F23" s="57">
        <v>42825</v>
      </c>
      <c r="G23" s="68">
        <f t="shared" si="1"/>
        <v>183</v>
      </c>
      <c r="H23" s="53">
        <v>365</v>
      </c>
      <c r="I23" s="52">
        <f t="shared" si="2"/>
        <v>293471000</v>
      </c>
      <c r="J23" s="71">
        <f t="shared" si="3"/>
        <v>147137515</v>
      </c>
      <c r="K23" s="76"/>
      <c r="L23" s="52"/>
    </row>
    <row r="24" spans="1:13" s="68" customFormat="1" ht="19.5" customHeight="1">
      <c r="A24" s="53"/>
      <c r="B24" s="67">
        <v>42644</v>
      </c>
      <c r="C24" s="68" t="s">
        <v>37</v>
      </c>
      <c r="D24" s="69">
        <v>-385463653</v>
      </c>
      <c r="E24" s="67">
        <f t="shared" si="0"/>
        <v>42644</v>
      </c>
      <c r="F24" s="67">
        <v>42825</v>
      </c>
      <c r="G24" s="68">
        <f t="shared" si="1"/>
        <v>182</v>
      </c>
      <c r="H24" s="68">
        <v>365</v>
      </c>
      <c r="I24" s="70">
        <f t="shared" si="2"/>
        <v>-385463600</v>
      </c>
      <c r="J24" s="73">
        <f t="shared" si="3"/>
        <v>-192203767</v>
      </c>
      <c r="K24" s="52"/>
      <c r="L24" s="52"/>
      <c r="M24" s="53"/>
    </row>
    <row r="25" spans="1:13" ht="19.5" customHeight="1">
      <c r="B25" s="67">
        <v>42668</v>
      </c>
      <c r="C25" s="68" t="s">
        <v>4</v>
      </c>
      <c r="D25" s="69">
        <v>274352000</v>
      </c>
      <c r="E25" s="67">
        <f t="shared" si="0"/>
        <v>42668</v>
      </c>
      <c r="F25" s="67">
        <v>42825</v>
      </c>
      <c r="G25" s="68">
        <f t="shared" si="1"/>
        <v>158</v>
      </c>
      <c r="H25" s="68">
        <v>365</v>
      </c>
      <c r="I25" s="70">
        <f t="shared" si="2"/>
        <v>274352000</v>
      </c>
      <c r="J25" s="73">
        <f t="shared" si="3"/>
        <v>118760591</v>
      </c>
    </row>
    <row r="26" spans="1:13" ht="19.5" customHeight="1">
      <c r="B26" s="67">
        <v>42673</v>
      </c>
      <c r="C26" s="68" t="s">
        <v>0</v>
      </c>
      <c r="D26" s="69">
        <v>276446706</v>
      </c>
      <c r="E26" s="67">
        <f t="shared" si="0"/>
        <v>42673</v>
      </c>
      <c r="F26" s="67">
        <v>42825</v>
      </c>
      <c r="G26" s="68">
        <f t="shared" si="1"/>
        <v>153</v>
      </c>
      <c r="H26" s="68">
        <v>365</v>
      </c>
      <c r="I26" s="70">
        <f t="shared" si="2"/>
        <v>276446700</v>
      </c>
      <c r="J26" s="73">
        <f t="shared" si="3"/>
        <v>115880397</v>
      </c>
    </row>
    <row r="27" spans="1:13" ht="19.5" customHeight="1">
      <c r="B27" s="67">
        <v>42675</v>
      </c>
      <c r="C27" s="68" t="s">
        <v>37</v>
      </c>
      <c r="D27" s="69">
        <v>-319825727</v>
      </c>
      <c r="E27" s="67">
        <f t="shared" si="0"/>
        <v>42675</v>
      </c>
      <c r="F27" s="67">
        <v>42825</v>
      </c>
      <c r="G27" s="68">
        <f t="shared" si="1"/>
        <v>151</v>
      </c>
      <c r="H27" s="68">
        <v>365</v>
      </c>
      <c r="I27" s="70">
        <f t="shared" si="2"/>
        <v>-319825700</v>
      </c>
      <c r="J27" s="73">
        <f t="shared" si="3"/>
        <v>-132311453</v>
      </c>
    </row>
    <row r="28" spans="1:13" ht="19.5" customHeight="1">
      <c r="B28" s="67">
        <v>42699</v>
      </c>
      <c r="C28" s="68" t="s">
        <v>4</v>
      </c>
      <c r="D28" s="69">
        <v>275360000</v>
      </c>
      <c r="E28" s="67">
        <f t="shared" si="0"/>
        <v>42699</v>
      </c>
      <c r="F28" s="67">
        <v>42825</v>
      </c>
      <c r="G28" s="68">
        <f t="shared" si="1"/>
        <v>127</v>
      </c>
      <c r="H28" s="68">
        <v>365</v>
      </c>
      <c r="I28" s="70">
        <f t="shared" si="2"/>
        <v>275360000</v>
      </c>
      <c r="J28" s="73">
        <f t="shared" si="3"/>
        <v>95810191</v>
      </c>
    </row>
    <row r="29" spans="1:13" ht="19.5" customHeight="1">
      <c r="B29" s="67">
        <v>42704</v>
      </c>
      <c r="C29" s="68" t="s">
        <v>0</v>
      </c>
      <c r="D29" s="69">
        <v>149050000</v>
      </c>
      <c r="E29" s="67">
        <f t="shared" si="0"/>
        <v>42704</v>
      </c>
      <c r="F29" s="67">
        <v>42825</v>
      </c>
      <c r="G29" s="68">
        <f t="shared" si="1"/>
        <v>122</v>
      </c>
      <c r="H29" s="68">
        <v>365</v>
      </c>
      <c r="I29" s="70">
        <f t="shared" si="2"/>
        <v>149050000</v>
      </c>
      <c r="J29" s="73">
        <f t="shared" si="3"/>
        <v>49819452</v>
      </c>
    </row>
    <row r="30" spans="1:13" ht="19.5" customHeight="1">
      <c r="B30" s="67">
        <v>42705</v>
      </c>
      <c r="C30" s="68" t="s">
        <v>37</v>
      </c>
      <c r="D30" s="69">
        <v>-253578184</v>
      </c>
      <c r="E30" s="67">
        <f t="shared" si="0"/>
        <v>42705</v>
      </c>
      <c r="F30" s="67">
        <v>42825</v>
      </c>
      <c r="G30" s="68">
        <f t="shared" si="1"/>
        <v>121</v>
      </c>
      <c r="H30" s="68">
        <v>365</v>
      </c>
      <c r="I30" s="70">
        <f t="shared" si="2"/>
        <v>-253578100</v>
      </c>
      <c r="J30" s="73">
        <f t="shared" si="3"/>
        <v>-84062876</v>
      </c>
    </row>
    <row r="31" spans="1:13" ht="19.5" customHeight="1">
      <c r="B31" s="67">
        <v>42719</v>
      </c>
      <c r="C31" s="68" t="s">
        <v>38</v>
      </c>
      <c r="D31" s="69">
        <v>301374000</v>
      </c>
      <c r="E31" s="67">
        <f t="shared" si="0"/>
        <v>42719</v>
      </c>
      <c r="F31" s="67">
        <v>42825</v>
      </c>
      <c r="G31" s="68">
        <f t="shared" si="1"/>
        <v>107</v>
      </c>
      <c r="H31" s="68">
        <v>365</v>
      </c>
      <c r="I31" s="70">
        <f t="shared" si="2"/>
        <v>301374000</v>
      </c>
      <c r="J31" s="73">
        <f t="shared" si="3"/>
        <v>88347994</v>
      </c>
    </row>
    <row r="32" spans="1:13" ht="19.5" customHeight="1">
      <c r="B32" s="67">
        <v>42729</v>
      </c>
      <c r="C32" s="68" t="s">
        <v>4</v>
      </c>
      <c r="D32" s="69">
        <v>275344000</v>
      </c>
      <c r="E32" s="67">
        <f t="shared" si="0"/>
        <v>42729</v>
      </c>
      <c r="F32" s="67">
        <v>42825</v>
      </c>
      <c r="G32" s="68">
        <f t="shared" si="1"/>
        <v>97</v>
      </c>
      <c r="H32" s="68">
        <v>365</v>
      </c>
      <c r="I32" s="70">
        <f t="shared" si="2"/>
        <v>275344000</v>
      </c>
      <c r="J32" s="73">
        <f t="shared" si="3"/>
        <v>73173610</v>
      </c>
    </row>
    <row r="33" spans="1:14" ht="19.5" customHeight="1">
      <c r="B33" s="67">
        <v>42734</v>
      </c>
      <c r="C33" s="68" t="s">
        <v>0</v>
      </c>
      <c r="D33" s="69">
        <v>299054000</v>
      </c>
      <c r="E33" s="67">
        <f t="shared" si="0"/>
        <v>42734</v>
      </c>
      <c r="F33" s="67">
        <v>42825</v>
      </c>
      <c r="G33" s="68">
        <f t="shared" si="1"/>
        <v>92</v>
      </c>
      <c r="H33" s="68">
        <v>365</v>
      </c>
      <c r="I33" s="70">
        <f t="shared" si="2"/>
        <v>299054000</v>
      </c>
      <c r="J33" s="73">
        <f t="shared" si="3"/>
        <v>75377994</v>
      </c>
      <c r="K33" s="76"/>
      <c r="L33" s="74"/>
    </row>
    <row r="34" spans="1:14" ht="19.5" customHeight="1">
      <c r="B34" s="67">
        <v>42736</v>
      </c>
      <c r="C34" s="68" t="s">
        <v>37</v>
      </c>
      <c r="D34" s="69">
        <v>-360000000</v>
      </c>
      <c r="E34" s="67">
        <f t="shared" si="0"/>
        <v>42736</v>
      </c>
      <c r="F34" s="67">
        <v>42825</v>
      </c>
      <c r="G34" s="68">
        <f t="shared" si="1"/>
        <v>90</v>
      </c>
      <c r="H34" s="68">
        <v>365</v>
      </c>
      <c r="I34" s="70">
        <f t="shared" si="2"/>
        <v>-360000000</v>
      </c>
      <c r="J34" s="73">
        <f t="shared" si="3"/>
        <v>-88767123</v>
      </c>
      <c r="L34" s="74"/>
    </row>
    <row r="35" spans="1:14" ht="19.5" customHeight="1">
      <c r="B35" s="67">
        <v>42760</v>
      </c>
      <c r="C35" s="68" t="s">
        <v>4</v>
      </c>
      <c r="D35" s="69">
        <v>276400000</v>
      </c>
      <c r="E35" s="67">
        <f t="shared" si="0"/>
        <v>42760</v>
      </c>
      <c r="F35" s="67">
        <v>42825</v>
      </c>
      <c r="G35" s="68">
        <f t="shared" si="1"/>
        <v>66</v>
      </c>
      <c r="H35" s="68">
        <v>365</v>
      </c>
      <c r="I35" s="70">
        <f t="shared" si="2"/>
        <v>276400000</v>
      </c>
      <c r="J35" s="73">
        <f t="shared" si="3"/>
        <v>49979178</v>
      </c>
      <c r="L35" s="76"/>
    </row>
    <row r="36" spans="1:14" ht="19.5" customHeight="1">
      <c r="B36" s="67">
        <v>42765</v>
      </c>
      <c r="C36" s="68" t="s">
        <v>0</v>
      </c>
      <c r="D36" s="69">
        <v>261400000</v>
      </c>
      <c r="E36" s="67">
        <f t="shared" si="0"/>
        <v>42765</v>
      </c>
      <c r="F36" s="67">
        <v>42825</v>
      </c>
      <c r="G36" s="68">
        <f t="shared" si="1"/>
        <v>61</v>
      </c>
      <c r="H36" s="68">
        <v>365</v>
      </c>
      <c r="I36" s="70">
        <f t="shared" si="2"/>
        <v>261400000</v>
      </c>
      <c r="J36" s="73">
        <f t="shared" si="3"/>
        <v>43686027</v>
      </c>
    </row>
    <row r="37" spans="1:14" ht="19.5" customHeight="1">
      <c r="B37" s="67">
        <v>42767</v>
      </c>
      <c r="C37" s="68" t="s">
        <v>37</v>
      </c>
      <c r="D37" s="69">
        <v>-434000000</v>
      </c>
      <c r="E37" s="67">
        <f t="shared" si="0"/>
        <v>42767</v>
      </c>
      <c r="F37" s="67">
        <v>42825</v>
      </c>
      <c r="G37" s="68">
        <f t="shared" si="1"/>
        <v>59</v>
      </c>
      <c r="H37" s="68">
        <v>365</v>
      </c>
      <c r="I37" s="70">
        <f t="shared" si="2"/>
        <v>-434000000</v>
      </c>
      <c r="J37" s="73">
        <f t="shared" si="3"/>
        <v>-70153424</v>
      </c>
      <c r="K37" s="75"/>
      <c r="L37" s="74"/>
    </row>
    <row r="38" spans="1:14" ht="19.5" customHeight="1">
      <c r="B38" s="67">
        <v>42791</v>
      </c>
      <c r="C38" s="68" t="s">
        <v>4</v>
      </c>
      <c r="D38" s="69">
        <v>276800000</v>
      </c>
      <c r="E38" s="67">
        <f t="shared" si="0"/>
        <v>42791</v>
      </c>
      <c r="F38" s="67">
        <v>42825</v>
      </c>
      <c r="G38" s="68">
        <f t="shared" si="1"/>
        <v>35</v>
      </c>
      <c r="H38" s="68">
        <v>365</v>
      </c>
      <c r="I38" s="70">
        <f t="shared" si="2"/>
        <v>276800000</v>
      </c>
      <c r="J38" s="73">
        <f t="shared" si="3"/>
        <v>26542465</v>
      </c>
      <c r="L38" s="52"/>
    </row>
    <row r="39" spans="1:14" ht="19.5" customHeight="1">
      <c r="B39" s="85">
        <v>42794</v>
      </c>
      <c r="C39" s="68" t="s">
        <v>0</v>
      </c>
      <c r="D39" s="69">
        <v>286800000</v>
      </c>
      <c r="E39" s="67">
        <f t="shared" si="0"/>
        <v>42794</v>
      </c>
      <c r="F39" s="67">
        <v>42825</v>
      </c>
      <c r="G39" s="68">
        <f t="shared" si="1"/>
        <v>32</v>
      </c>
      <c r="H39" s="68">
        <v>365</v>
      </c>
      <c r="I39" s="70">
        <f t="shared" si="2"/>
        <v>286800000</v>
      </c>
      <c r="J39" s="73">
        <f t="shared" si="3"/>
        <v>25144109</v>
      </c>
    </row>
    <row r="40" spans="1:14" ht="19.5" customHeight="1" thickBot="1">
      <c r="B40" s="67">
        <v>42795</v>
      </c>
      <c r="C40" s="68" t="s">
        <v>37</v>
      </c>
      <c r="D40" s="69">
        <v>-2114216000</v>
      </c>
      <c r="E40" s="67">
        <f t="shared" si="0"/>
        <v>42795</v>
      </c>
      <c r="F40" s="67">
        <v>42825</v>
      </c>
      <c r="G40" s="68">
        <f t="shared" si="1"/>
        <v>31</v>
      </c>
      <c r="H40" s="68">
        <v>365</v>
      </c>
      <c r="I40" s="70">
        <f t="shared" si="2"/>
        <v>-2114216000</v>
      </c>
      <c r="J40" s="73">
        <f t="shared" si="3"/>
        <v>-179563550</v>
      </c>
    </row>
    <row r="41" spans="1:14" ht="19.5" customHeight="1" thickBot="1">
      <c r="B41" s="67">
        <v>42819</v>
      </c>
      <c r="C41" s="68" t="s">
        <v>4</v>
      </c>
      <c r="D41" s="69">
        <v>277000000</v>
      </c>
      <c r="E41" s="67">
        <f t="shared" si="0"/>
        <v>42819</v>
      </c>
      <c r="F41" s="67">
        <v>42825</v>
      </c>
      <c r="G41" s="68">
        <f t="shared" si="1"/>
        <v>7</v>
      </c>
      <c r="H41" s="68">
        <v>365</v>
      </c>
      <c r="I41" s="70">
        <f t="shared" si="2"/>
        <v>277000000</v>
      </c>
      <c r="J41" s="73">
        <f t="shared" si="3"/>
        <v>5312328</v>
      </c>
      <c r="K41" s="94" t="s">
        <v>15</v>
      </c>
      <c r="L41" s="95"/>
      <c r="M41" s="95"/>
      <c r="N41" s="96"/>
    </row>
    <row r="42" spans="1:14" ht="19.5" customHeight="1">
      <c r="B42" s="67">
        <v>42824</v>
      </c>
      <c r="C42" s="68" t="s">
        <v>0</v>
      </c>
      <c r="D42" s="69">
        <v>316600000</v>
      </c>
      <c r="E42" s="67">
        <f t="shared" si="0"/>
        <v>42824</v>
      </c>
      <c r="F42" s="67">
        <v>42825</v>
      </c>
      <c r="G42" s="68">
        <f t="shared" si="1"/>
        <v>2</v>
      </c>
      <c r="H42" s="68">
        <v>365</v>
      </c>
      <c r="I42" s="70">
        <f t="shared" si="2"/>
        <v>316600000</v>
      </c>
      <c r="J42" s="73">
        <f t="shared" si="3"/>
        <v>1734794</v>
      </c>
      <c r="K42" s="59" t="s">
        <v>11</v>
      </c>
      <c r="L42" s="60" t="s">
        <v>12</v>
      </c>
      <c r="M42" s="60" t="s">
        <v>13</v>
      </c>
      <c r="N42" s="61" t="s">
        <v>14</v>
      </c>
    </row>
    <row r="43" spans="1:14" ht="19.5" customHeight="1" thickBot="1">
      <c r="B43" s="57"/>
      <c r="D43" s="58">
        <f>SUM(D4:D42)</f>
        <v>46538070491</v>
      </c>
      <c r="E43" s="57"/>
      <c r="F43" s="57"/>
      <c r="I43" s="52">
        <f>SUM(I4:I42)</f>
        <v>46538070700</v>
      </c>
      <c r="J43" s="71">
        <f>SUM(J4:J42)</f>
        <v>46081985039</v>
      </c>
      <c r="K43" s="62">
        <f>ROUNDDOWN(J43*1.6/100,0)</f>
        <v>737311760</v>
      </c>
      <c r="L43" s="63">
        <f>ROUNDDOWN(K43*0.15315,0)</f>
        <v>112919296</v>
      </c>
      <c r="M43" s="56">
        <f>ROUNDDOWN(K43*0.05,0)</f>
        <v>36865588</v>
      </c>
      <c r="N43" s="64">
        <f>K43-L43-M43</f>
        <v>587526876</v>
      </c>
    </row>
    <row r="44" spans="1:14" ht="19.5" customHeight="1">
      <c r="B44" s="57"/>
      <c r="D44" s="58"/>
      <c r="E44" s="57"/>
      <c r="F44" s="57"/>
      <c r="L44" s="53" t="s">
        <v>16</v>
      </c>
    </row>
    <row r="45" spans="1:14" ht="19.5" customHeight="1">
      <c r="A45" s="53" t="s">
        <v>29</v>
      </c>
      <c r="B45" s="57">
        <v>42826</v>
      </c>
      <c r="C45" s="53" t="s">
        <v>5</v>
      </c>
      <c r="D45" s="58">
        <f>D43+N43</f>
        <v>47125597367</v>
      </c>
      <c r="E45" s="57">
        <f t="shared" ref="E45:E57" si="4">B45</f>
        <v>42826</v>
      </c>
      <c r="F45" s="57">
        <v>43190</v>
      </c>
      <c r="G45" s="53">
        <f t="shared" ref="G45:G57" si="5">F45-B45+1</f>
        <v>365</v>
      </c>
      <c r="H45" s="53">
        <v>365</v>
      </c>
      <c r="I45" s="52">
        <f t="shared" ref="I45:I57" si="6">ROUNDDOWN(D45/100,0)*100</f>
        <v>47125597300</v>
      </c>
      <c r="J45" s="71">
        <f t="shared" ref="J45:J57" si="7">ROUNDDOWN(I45*G45/H45,0)</f>
        <v>47125597300</v>
      </c>
    </row>
    <row r="46" spans="1:14" ht="19.5" customHeight="1">
      <c r="B46" s="57">
        <v>42850</v>
      </c>
      <c r="C46" s="53" t="s">
        <v>4</v>
      </c>
      <c r="D46" s="58">
        <v>0</v>
      </c>
      <c r="E46" s="57">
        <f t="shared" si="4"/>
        <v>42850</v>
      </c>
      <c r="F46" s="57">
        <v>43190</v>
      </c>
      <c r="G46" s="53">
        <f t="shared" si="5"/>
        <v>341</v>
      </c>
      <c r="H46" s="53">
        <v>365</v>
      </c>
      <c r="I46" s="52">
        <f t="shared" si="6"/>
        <v>0</v>
      </c>
      <c r="J46" s="71">
        <f t="shared" si="7"/>
        <v>0</v>
      </c>
    </row>
    <row r="47" spans="1:14" ht="19.5" customHeight="1">
      <c r="B47" s="57">
        <v>42880</v>
      </c>
      <c r="C47" s="53" t="s">
        <v>4</v>
      </c>
      <c r="D47" s="58">
        <v>0</v>
      </c>
      <c r="E47" s="57">
        <f t="shared" si="4"/>
        <v>42880</v>
      </c>
      <c r="F47" s="57">
        <v>43190</v>
      </c>
      <c r="G47" s="53">
        <f t="shared" si="5"/>
        <v>311</v>
      </c>
      <c r="H47" s="53">
        <v>365</v>
      </c>
      <c r="I47" s="52">
        <f t="shared" si="6"/>
        <v>0</v>
      </c>
      <c r="J47" s="71">
        <f t="shared" si="7"/>
        <v>0</v>
      </c>
    </row>
    <row r="48" spans="1:14" ht="19.5" customHeight="1">
      <c r="B48" s="57">
        <v>42911</v>
      </c>
      <c r="C48" s="53" t="s">
        <v>4</v>
      </c>
      <c r="D48" s="58">
        <v>0</v>
      </c>
      <c r="E48" s="57">
        <f t="shared" si="4"/>
        <v>42911</v>
      </c>
      <c r="F48" s="57">
        <v>43190</v>
      </c>
      <c r="G48" s="53">
        <f t="shared" si="5"/>
        <v>280</v>
      </c>
      <c r="H48" s="53">
        <v>365</v>
      </c>
      <c r="I48" s="52">
        <f t="shared" si="6"/>
        <v>0</v>
      </c>
      <c r="J48" s="71">
        <f t="shared" si="7"/>
        <v>0</v>
      </c>
    </row>
    <row r="49" spans="1:14" ht="19.5" customHeight="1">
      <c r="B49" s="57">
        <v>42941</v>
      </c>
      <c r="C49" s="53" t="s">
        <v>4</v>
      </c>
      <c r="D49" s="58">
        <v>0</v>
      </c>
      <c r="E49" s="57">
        <f t="shared" si="4"/>
        <v>42941</v>
      </c>
      <c r="F49" s="57">
        <v>43190</v>
      </c>
      <c r="G49" s="53">
        <f t="shared" si="5"/>
        <v>250</v>
      </c>
      <c r="H49" s="53">
        <v>365</v>
      </c>
      <c r="I49" s="52">
        <f t="shared" si="6"/>
        <v>0</v>
      </c>
      <c r="J49" s="71">
        <f t="shared" si="7"/>
        <v>0</v>
      </c>
    </row>
    <row r="50" spans="1:14" ht="19.5" customHeight="1">
      <c r="B50" s="57">
        <v>42972</v>
      </c>
      <c r="C50" s="53" t="s">
        <v>4</v>
      </c>
      <c r="D50" s="58">
        <v>0</v>
      </c>
      <c r="E50" s="57">
        <f t="shared" si="4"/>
        <v>42972</v>
      </c>
      <c r="F50" s="57">
        <v>43190</v>
      </c>
      <c r="G50" s="53">
        <f t="shared" si="5"/>
        <v>219</v>
      </c>
      <c r="H50" s="53">
        <v>365</v>
      </c>
      <c r="I50" s="52">
        <f t="shared" si="6"/>
        <v>0</v>
      </c>
      <c r="J50" s="71">
        <f t="shared" si="7"/>
        <v>0</v>
      </c>
    </row>
    <row r="51" spans="1:14" ht="19.5" customHeight="1">
      <c r="B51" s="57">
        <v>43003</v>
      </c>
      <c r="C51" s="53" t="s">
        <v>4</v>
      </c>
      <c r="D51" s="58">
        <v>0</v>
      </c>
      <c r="E51" s="57">
        <f t="shared" si="4"/>
        <v>43003</v>
      </c>
      <c r="F51" s="57">
        <v>43190</v>
      </c>
      <c r="G51" s="53">
        <f t="shared" si="5"/>
        <v>188</v>
      </c>
      <c r="H51" s="53">
        <v>365</v>
      </c>
      <c r="I51" s="52">
        <f t="shared" si="6"/>
        <v>0</v>
      </c>
      <c r="J51" s="71">
        <f t="shared" si="7"/>
        <v>0</v>
      </c>
    </row>
    <row r="52" spans="1:14" ht="19.5" customHeight="1">
      <c r="B52" s="57">
        <v>43033</v>
      </c>
      <c r="C52" s="53" t="s">
        <v>4</v>
      </c>
      <c r="D52" s="58">
        <v>0</v>
      </c>
      <c r="E52" s="57">
        <f t="shared" si="4"/>
        <v>43033</v>
      </c>
      <c r="F52" s="57">
        <v>43190</v>
      </c>
      <c r="G52" s="53">
        <f t="shared" si="5"/>
        <v>158</v>
      </c>
      <c r="H52" s="53">
        <v>365</v>
      </c>
      <c r="I52" s="52">
        <f t="shared" si="6"/>
        <v>0</v>
      </c>
      <c r="J52" s="71">
        <f t="shared" si="7"/>
        <v>0</v>
      </c>
    </row>
    <row r="53" spans="1:14" ht="19.5" customHeight="1">
      <c r="B53" s="57">
        <v>43064</v>
      </c>
      <c r="C53" s="53" t="s">
        <v>4</v>
      </c>
      <c r="D53" s="58">
        <v>0</v>
      </c>
      <c r="E53" s="57">
        <f t="shared" si="4"/>
        <v>43064</v>
      </c>
      <c r="F53" s="57">
        <v>43190</v>
      </c>
      <c r="G53" s="53">
        <f t="shared" si="5"/>
        <v>127</v>
      </c>
      <c r="H53" s="53">
        <v>365</v>
      </c>
      <c r="I53" s="52">
        <f t="shared" si="6"/>
        <v>0</v>
      </c>
      <c r="J53" s="71">
        <f t="shared" si="7"/>
        <v>0</v>
      </c>
    </row>
    <row r="54" spans="1:14" ht="19.5" customHeight="1" thickBot="1">
      <c r="B54" s="57">
        <v>43094</v>
      </c>
      <c r="C54" s="53" t="s">
        <v>4</v>
      </c>
      <c r="D54" s="58">
        <v>0</v>
      </c>
      <c r="E54" s="57">
        <f t="shared" si="4"/>
        <v>43094</v>
      </c>
      <c r="F54" s="57">
        <v>43190</v>
      </c>
      <c r="G54" s="53">
        <f t="shared" si="5"/>
        <v>97</v>
      </c>
      <c r="H54" s="53">
        <v>365</v>
      </c>
      <c r="I54" s="52">
        <f t="shared" si="6"/>
        <v>0</v>
      </c>
      <c r="J54" s="71">
        <f t="shared" si="7"/>
        <v>0</v>
      </c>
    </row>
    <row r="55" spans="1:14" ht="19.5" customHeight="1" thickBot="1">
      <c r="B55" s="57">
        <v>43125</v>
      </c>
      <c r="C55" s="53" t="s">
        <v>4</v>
      </c>
      <c r="D55" s="58">
        <v>0</v>
      </c>
      <c r="E55" s="57">
        <f t="shared" si="4"/>
        <v>43125</v>
      </c>
      <c r="F55" s="57">
        <v>43190</v>
      </c>
      <c r="G55" s="53">
        <f t="shared" si="5"/>
        <v>66</v>
      </c>
      <c r="H55" s="53">
        <v>365</v>
      </c>
      <c r="I55" s="52">
        <f t="shared" si="6"/>
        <v>0</v>
      </c>
      <c r="J55" s="71">
        <f t="shared" si="7"/>
        <v>0</v>
      </c>
      <c r="K55" s="94" t="s">
        <v>15</v>
      </c>
      <c r="L55" s="95"/>
      <c r="M55" s="95"/>
      <c r="N55" s="96"/>
    </row>
    <row r="56" spans="1:14" ht="19.5" customHeight="1">
      <c r="B56" s="57">
        <v>43156</v>
      </c>
      <c r="C56" s="53" t="s">
        <v>4</v>
      </c>
      <c r="D56" s="58">
        <v>0</v>
      </c>
      <c r="E56" s="57">
        <f t="shared" si="4"/>
        <v>43156</v>
      </c>
      <c r="F56" s="57">
        <v>43190</v>
      </c>
      <c r="G56" s="53">
        <f t="shared" si="5"/>
        <v>35</v>
      </c>
      <c r="H56" s="53">
        <v>365</v>
      </c>
      <c r="I56" s="52">
        <f t="shared" si="6"/>
        <v>0</v>
      </c>
      <c r="J56" s="71">
        <f t="shared" si="7"/>
        <v>0</v>
      </c>
      <c r="K56" s="59" t="s">
        <v>11</v>
      </c>
      <c r="L56" s="60" t="s">
        <v>12</v>
      </c>
      <c r="M56" s="60" t="s">
        <v>13</v>
      </c>
      <c r="N56" s="61" t="s">
        <v>14</v>
      </c>
    </row>
    <row r="57" spans="1:14" ht="19.5" customHeight="1" thickBot="1">
      <c r="B57" s="57">
        <v>43184</v>
      </c>
      <c r="C57" s="53" t="s">
        <v>4</v>
      </c>
      <c r="D57" s="58">
        <v>0</v>
      </c>
      <c r="E57" s="57">
        <f t="shared" si="4"/>
        <v>43184</v>
      </c>
      <c r="F57" s="57">
        <v>43190</v>
      </c>
      <c r="G57" s="53">
        <f t="shared" si="5"/>
        <v>7</v>
      </c>
      <c r="H57" s="53">
        <v>365</v>
      </c>
      <c r="I57" s="52">
        <f t="shared" si="6"/>
        <v>0</v>
      </c>
      <c r="J57" s="71">
        <f t="shared" si="7"/>
        <v>0</v>
      </c>
      <c r="K57" s="62">
        <f>ROUNDDOWN(J58*1.6/100,0)</f>
        <v>754009556</v>
      </c>
      <c r="L57" s="63">
        <f>ROUNDDOWN(K57*0.15315,0)</f>
        <v>115476563</v>
      </c>
      <c r="M57" s="56">
        <f>ROUNDDOWN(K57*0.05,0)</f>
        <v>37700477</v>
      </c>
      <c r="N57" s="64">
        <f>K57-L57-M57</f>
        <v>600832516</v>
      </c>
    </row>
    <row r="58" spans="1:14" ht="19.5" customHeight="1">
      <c r="D58" s="58">
        <f>SUM(D45:D57)</f>
        <v>47125597367</v>
      </c>
      <c r="J58" s="71">
        <f>SUM(J45:J57)</f>
        <v>47125597300</v>
      </c>
      <c r="L58" s="53" t="s">
        <v>16</v>
      </c>
    </row>
    <row r="59" spans="1:14" ht="19.5" customHeight="1">
      <c r="D59" s="58"/>
    </row>
    <row r="60" spans="1:14" ht="19.5" customHeight="1">
      <c r="A60" s="53" t="s">
        <v>30</v>
      </c>
      <c r="B60" s="57">
        <v>43191</v>
      </c>
      <c r="C60" s="53" t="s">
        <v>5</v>
      </c>
      <c r="D60" s="58">
        <f>D58+N57</f>
        <v>47726429883</v>
      </c>
      <c r="E60" s="57">
        <f t="shared" ref="E60:E72" si="8">B60</f>
        <v>43191</v>
      </c>
      <c r="F60" s="57">
        <v>43555</v>
      </c>
      <c r="G60" s="53">
        <f t="shared" ref="G60:G72" si="9">F60-B60+1</f>
        <v>365</v>
      </c>
      <c r="H60" s="53">
        <v>365</v>
      </c>
      <c r="I60" s="52">
        <f t="shared" ref="I60:I72" si="10">ROUNDDOWN(D60/100,0)*100</f>
        <v>47726429800</v>
      </c>
      <c r="J60" s="71">
        <f t="shared" ref="J60:J72" si="11">ROUNDDOWN(I60*G60/H60,0)</f>
        <v>47726429800</v>
      </c>
    </row>
    <row r="61" spans="1:14" ht="19.5" customHeight="1">
      <c r="B61" s="57">
        <v>43215</v>
      </c>
      <c r="C61" s="53" t="s">
        <v>4</v>
      </c>
      <c r="D61" s="58">
        <v>0</v>
      </c>
      <c r="E61" s="57">
        <f t="shared" si="8"/>
        <v>43215</v>
      </c>
      <c r="F61" s="57">
        <v>43555</v>
      </c>
      <c r="G61" s="53">
        <f t="shared" si="9"/>
        <v>341</v>
      </c>
      <c r="H61" s="53">
        <v>365</v>
      </c>
      <c r="I61" s="52">
        <f t="shared" si="10"/>
        <v>0</v>
      </c>
      <c r="J61" s="71">
        <f t="shared" si="11"/>
        <v>0</v>
      </c>
    </row>
    <row r="62" spans="1:14" ht="19.5" customHeight="1">
      <c r="B62" s="57">
        <v>43245</v>
      </c>
      <c r="C62" s="53" t="s">
        <v>4</v>
      </c>
      <c r="D62" s="58">
        <v>0</v>
      </c>
      <c r="E62" s="57">
        <f t="shared" si="8"/>
        <v>43245</v>
      </c>
      <c r="F62" s="57">
        <v>43555</v>
      </c>
      <c r="G62" s="53">
        <f t="shared" si="9"/>
        <v>311</v>
      </c>
      <c r="H62" s="53">
        <v>365</v>
      </c>
      <c r="I62" s="52">
        <f t="shared" si="10"/>
        <v>0</v>
      </c>
      <c r="J62" s="71">
        <f t="shared" si="11"/>
        <v>0</v>
      </c>
    </row>
    <row r="63" spans="1:14" ht="19.5" customHeight="1">
      <c r="B63" s="57">
        <v>43276</v>
      </c>
      <c r="C63" s="53" t="s">
        <v>4</v>
      </c>
      <c r="D63" s="58">
        <v>0</v>
      </c>
      <c r="E63" s="57">
        <f t="shared" si="8"/>
        <v>43276</v>
      </c>
      <c r="F63" s="57">
        <v>43555</v>
      </c>
      <c r="G63" s="53">
        <f t="shared" si="9"/>
        <v>280</v>
      </c>
      <c r="H63" s="53">
        <v>365</v>
      </c>
      <c r="I63" s="52">
        <f t="shared" si="10"/>
        <v>0</v>
      </c>
      <c r="J63" s="71">
        <f t="shared" si="11"/>
        <v>0</v>
      </c>
    </row>
    <row r="64" spans="1:14" ht="19.5" customHeight="1">
      <c r="B64" s="57">
        <v>43306</v>
      </c>
      <c r="C64" s="53" t="s">
        <v>4</v>
      </c>
      <c r="D64" s="58">
        <v>0</v>
      </c>
      <c r="E64" s="57">
        <f t="shared" si="8"/>
        <v>43306</v>
      </c>
      <c r="F64" s="57">
        <v>43555</v>
      </c>
      <c r="G64" s="53">
        <f t="shared" si="9"/>
        <v>250</v>
      </c>
      <c r="H64" s="53">
        <v>365</v>
      </c>
      <c r="I64" s="52">
        <f t="shared" si="10"/>
        <v>0</v>
      </c>
      <c r="J64" s="71">
        <f t="shared" si="11"/>
        <v>0</v>
      </c>
    </row>
    <row r="65" spans="1:14" ht="19.5" customHeight="1">
      <c r="B65" s="57">
        <v>43337</v>
      </c>
      <c r="C65" s="53" t="s">
        <v>4</v>
      </c>
      <c r="D65" s="58">
        <v>0</v>
      </c>
      <c r="E65" s="57">
        <f t="shared" si="8"/>
        <v>43337</v>
      </c>
      <c r="F65" s="57">
        <v>43555</v>
      </c>
      <c r="G65" s="53">
        <f t="shared" si="9"/>
        <v>219</v>
      </c>
      <c r="H65" s="53">
        <v>365</v>
      </c>
      <c r="I65" s="52">
        <f t="shared" si="10"/>
        <v>0</v>
      </c>
      <c r="J65" s="71">
        <f t="shared" si="11"/>
        <v>0</v>
      </c>
    </row>
    <row r="66" spans="1:14" ht="19.5" customHeight="1" thickBot="1">
      <c r="B66" s="57">
        <v>43368</v>
      </c>
      <c r="C66" s="53" t="s">
        <v>4</v>
      </c>
      <c r="D66" s="58">
        <v>0</v>
      </c>
      <c r="E66" s="57">
        <f t="shared" si="8"/>
        <v>43368</v>
      </c>
      <c r="F66" s="57">
        <v>43555</v>
      </c>
      <c r="G66" s="53">
        <f t="shared" si="9"/>
        <v>188</v>
      </c>
      <c r="H66" s="53">
        <v>365</v>
      </c>
      <c r="I66" s="52">
        <f t="shared" si="10"/>
        <v>0</v>
      </c>
      <c r="J66" s="71">
        <f t="shared" si="11"/>
        <v>0</v>
      </c>
    </row>
    <row r="67" spans="1:14" ht="19.5" customHeight="1" thickBot="1">
      <c r="B67" s="57">
        <v>43398</v>
      </c>
      <c r="C67" s="53" t="s">
        <v>4</v>
      </c>
      <c r="D67" s="58">
        <v>0</v>
      </c>
      <c r="E67" s="57">
        <f t="shared" si="8"/>
        <v>43398</v>
      </c>
      <c r="F67" s="57">
        <v>43555</v>
      </c>
      <c r="G67" s="53">
        <f t="shared" si="9"/>
        <v>158</v>
      </c>
      <c r="H67" s="53">
        <v>365</v>
      </c>
      <c r="I67" s="52">
        <f t="shared" si="10"/>
        <v>0</v>
      </c>
      <c r="J67" s="71">
        <f t="shared" si="11"/>
        <v>0</v>
      </c>
      <c r="K67" s="94" t="s">
        <v>15</v>
      </c>
      <c r="L67" s="95"/>
      <c r="M67" s="95"/>
      <c r="N67" s="96"/>
    </row>
    <row r="68" spans="1:14" ht="19.5" customHeight="1">
      <c r="B68" s="57">
        <v>43429</v>
      </c>
      <c r="C68" s="53" t="s">
        <v>4</v>
      </c>
      <c r="D68" s="58">
        <v>0</v>
      </c>
      <c r="E68" s="57">
        <f t="shared" si="8"/>
        <v>43429</v>
      </c>
      <c r="F68" s="57">
        <v>43555</v>
      </c>
      <c r="G68" s="53">
        <f t="shared" si="9"/>
        <v>127</v>
      </c>
      <c r="H68" s="53">
        <v>365</v>
      </c>
      <c r="I68" s="52">
        <f t="shared" si="10"/>
        <v>0</v>
      </c>
      <c r="J68" s="71">
        <f t="shared" si="11"/>
        <v>0</v>
      </c>
      <c r="K68" s="59" t="s">
        <v>11</v>
      </c>
      <c r="L68" s="60" t="s">
        <v>12</v>
      </c>
      <c r="M68" s="60" t="s">
        <v>13</v>
      </c>
      <c r="N68" s="61" t="s">
        <v>14</v>
      </c>
    </row>
    <row r="69" spans="1:14" ht="19.5" customHeight="1" thickBot="1">
      <c r="B69" s="57">
        <v>43459</v>
      </c>
      <c r="C69" s="53" t="s">
        <v>4</v>
      </c>
      <c r="D69" s="58">
        <v>0</v>
      </c>
      <c r="E69" s="57">
        <f t="shared" si="8"/>
        <v>43459</v>
      </c>
      <c r="F69" s="57">
        <v>43555</v>
      </c>
      <c r="G69" s="53">
        <f t="shared" si="9"/>
        <v>97</v>
      </c>
      <c r="H69" s="53">
        <v>365</v>
      </c>
      <c r="I69" s="52">
        <f t="shared" si="10"/>
        <v>0</v>
      </c>
      <c r="J69" s="71">
        <f t="shared" si="11"/>
        <v>0</v>
      </c>
      <c r="K69" s="62">
        <f>ROUNDDOWN(J73*1.6/100,0)</f>
        <v>763622876</v>
      </c>
      <c r="L69" s="63">
        <f>ROUNDDOWN(K69*0.15315,0)</f>
        <v>116948843</v>
      </c>
      <c r="M69" s="56">
        <f>ROUNDDOWN(K69*0.05,0)</f>
        <v>38181143</v>
      </c>
      <c r="N69" s="64">
        <f>K69-L69-M69</f>
        <v>608492890</v>
      </c>
    </row>
    <row r="70" spans="1:14" ht="19.5" customHeight="1">
      <c r="B70" s="57">
        <v>43490</v>
      </c>
      <c r="C70" s="53" t="s">
        <v>4</v>
      </c>
      <c r="D70" s="58">
        <v>0</v>
      </c>
      <c r="E70" s="57">
        <f t="shared" si="8"/>
        <v>43490</v>
      </c>
      <c r="F70" s="57">
        <v>43555</v>
      </c>
      <c r="G70" s="53">
        <f t="shared" si="9"/>
        <v>66</v>
      </c>
      <c r="H70" s="53">
        <v>365</v>
      </c>
      <c r="I70" s="52">
        <f t="shared" si="10"/>
        <v>0</v>
      </c>
      <c r="J70" s="71">
        <f t="shared" si="11"/>
        <v>0</v>
      </c>
      <c r="L70" s="53" t="s">
        <v>16</v>
      </c>
    </row>
    <row r="71" spans="1:14" ht="19.5" customHeight="1">
      <c r="B71" s="57">
        <v>43521</v>
      </c>
      <c r="C71" s="53" t="s">
        <v>4</v>
      </c>
      <c r="D71" s="58">
        <v>0</v>
      </c>
      <c r="E71" s="57">
        <f t="shared" si="8"/>
        <v>43521</v>
      </c>
      <c r="F71" s="57">
        <v>43555</v>
      </c>
      <c r="G71" s="53">
        <f t="shared" si="9"/>
        <v>35</v>
      </c>
      <c r="H71" s="53">
        <v>365</v>
      </c>
      <c r="I71" s="52">
        <f t="shared" si="10"/>
        <v>0</v>
      </c>
      <c r="J71" s="71">
        <f t="shared" si="11"/>
        <v>0</v>
      </c>
    </row>
    <row r="72" spans="1:14" ht="19.5" customHeight="1">
      <c r="B72" s="57">
        <v>43549</v>
      </c>
      <c r="C72" s="53" t="s">
        <v>4</v>
      </c>
      <c r="D72" s="58">
        <v>0</v>
      </c>
      <c r="E72" s="57">
        <f t="shared" si="8"/>
        <v>43549</v>
      </c>
      <c r="F72" s="57">
        <v>43555</v>
      </c>
      <c r="G72" s="53">
        <f t="shared" si="9"/>
        <v>7</v>
      </c>
      <c r="H72" s="53">
        <v>365</v>
      </c>
      <c r="I72" s="52">
        <f t="shared" si="10"/>
        <v>0</v>
      </c>
      <c r="J72" s="71">
        <f t="shared" si="11"/>
        <v>0</v>
      </c>
    </row>
    <row r="73" spans="1:14" ht="19.5" customHeight="1">
      <c r="D73" s="58">
        <f>SUM(D60:D72)</f>
        <v>47726429883</v>
      </c>
      <c r="J73" s="71">
        <f>SUM(J60:J72)</f>
        <v>47726429800</v>
      </c>
    </row>
    <row r="74" spans="1:14" ht="19.5" customHeight="1">
      <c r="A74" s="53" t="s">
        <v>31</v>
      </c>
      <c r="B74" s="57">
        <v>43556</v>
      </c>
      <c r="C74" s="53" t="s">
        <v>5</v>
      </c>
      <c r="D74" s="58">
        <f>D58+N57</f>
        <v>47726429883</v>
      </c>
      <c r="E74" s="57">
        <f t="shared" ref="E74:E86" si="12">B74</f>
        <v>43556</v>
      </c>
      <c r="F74" s="57">
        <v>43921</v>
      </c>
      <c r="G74" s="53">
        <f t="shared" ref="G74:G86" si="13">F74-B74+1</f>
        <v>366</v>
      </c>
      <c r="H74" s="65">
        <v>366</v>
      </c>
      <c r="I74" s="52">
        <f t="shared" ref="I74:I86" si="14">ROUNDDOWN(D74/100,0)*100</f>
        <v>47726429800</v>
      </c>
      <c r="J74" s="71">
        <f t="shared" ref="J74:J86" si="15">ROUNDDOWN(I74*G74/H74,0)</f>
        <v>47726429800</v>
      </c>
    </row>
    <row r="75" spans="1:14" ht="19.5" customHeight="1">
      <c r="B75" s="57">
        <v>43580</v>
      </c>
      <c r="C75" s="53" t="s">
        <v>4</v>
      </c>
      <c r="D75" s="58">
        <f>D74+N70</f>
        <v>47726429883</v>
      </c>
      <c r="E75" s="57">
        <f t="shared" si="12"/>
        <v>43580</v>
      </c>
      <c r="F75" s="57">
        <v>43921</v>
      </c>
      <c r="G75" s="53">
        <f t="shared" si="13"/>
        <v>342</v>
      </c>
      <c r="H75" s="65">
        <v>366</v>
      </c>
      <c r="I75" s="52">
        <f t="shared" si="14"/>
        <v>47726429800</v>
      </c>
      <c r="J75" s="71">
        <f t="shared" si="15"/>
        <v>44596827845</v>
      </c>
    </row>
    <row r="76" spans="1:14" ht="19.5" customHeight="1">
      <c r="B76" s="57">
        <v>43610</v>
      </c>
      <c r="C76" s="53" t="s">
        <v>4</v>
      </c>
      <c r="D76" s="58">
        <f>D75+N71</f>
        <v>47726429883</v>
      </c>
      <c r="E76" s="57">
        <f t="shared" si="12"/>
        <v>43610</v>
      </c>
      <c r="F76" s="57">
        <v>43921</v>
      </c>
      <c r="G76" s="53">
        <f t="shared" si="13"/>
        <v>312</v>
      </c>
      <c r="H76" s="65">
        <v>366</v>
      </c>
      <c r="I76" s="52">
        <f t="shared" si="14"/>
        <v>47726429800</v>
      </c>
      <c r="J76" s="71">
        <f t="shared" si="15"/>
        <v>40684825403</v>
      </c>
      <c r="K76" s="98" t="s">
        <v>32</v>
      </c>
      <c r="L76" s="98"/>
      <c r="M76" s="98"/>
      <c r="N76" s="98"/>
    </row>
    <row r="77" spans="1:14" ht="19.5" customHeight="1">
      <c r="B77" s="57">
        <v>43641</v>
      </c>
      <c r="C77" s="53" t="s">
        <v>4</v>
      </c>
      <c r="D77" s="58">
        <f>D76+N76</f>
        <v>47726429883</v>
      </c>
      <c r="E77" s="57">
        <f t="shared" si="12"/>
        <v>43641</v>
      </c>
      <c r="F77" s="57">
        <v>43921</v>
      </c>
      <c r="G77" s="53">
        <f t="shared" si="13"/>
        <v>281</v>
      </c>
      <c r="H77" s="65">
        <v>366</v>
      </c>
      <c r="I77" s="52">
        <f t="shared" si="14"/>
        <v>47726429800</v>
      </c>
      <c r="J77" s="71">
        <f t="shared" si="15"/>
        <v>36642422879</v>
      </c>
    </row>
    <row r="78" spans="1:14" ht="19.5" customHeight="1">
      <c r="B78" s="57">
        <v>43671</v>
      </c>
      <c r="C78" s="53" t="s">
        <v>4</v>
      </c>
      <c r="D78" s="58">
        <f>D77+N73</f>
        <v>47726429883</v>
      </c>
      <c r="E78" s="57">
        <f t="shared" si="12"/>
        <v>43671</v>
      </c>
      <c r="F78" s="57">
        <v>43921</v>
      </c>
      <c r="G78" s="53">
        <f t="shared" si="13"/>
        <v>251</v>
      </c>
      <c r="H78" s="65">
        <v>366</v>
      </c>
      <c r="I78" s="52">
        <f t="shared" si="14"/>
        <v>47726429800</v>
      </c>
      <c r="J78" s="71">
        <f t="shared" si="15"/>
        <v>32730420436</v>
      </c>
    </row>
    <row r="79" spans="1:14" ht="19.5" customHeight="1">
      <c r="B79" s="57">
        <v>43702</v>
      </c>
      <c r="C79" s="53" t="s">
        <v>4</v>
      </c>
      <c r="D79" s="58">
        <f>D78+N74</f>
        <v>47726429883</v>
      </c>
      <c r="E79" s="57">
        <f t="shared" si="12"/>
        <v>43702</v>
      </c>
      <c r="F79" s="57">
        <v>43921</v>
      </c>
      <c r="G79" s="53">
        <f t="shared" si="13"/>
        <v>220</v>
      </c>
      <c r="H79" s="65">
        <v>366</v>
      </c>
      <c r="I79" s="52">
        <f t="shared" si="14"/>
        <v>47726429800</v>
      </c>
      <c r="J79" s="71">
        <f t="shared" si="15"/>
        <v>28688017912</v>
      </c>
    </row>
    <row r="80" spans="1:14" ht="19.5" customHeight="1" thickBot="1">
      <c r="B80" s="57">
        <v>43733</v>
      </c>
      <c r="C80" s="53" t="s">
        <v>4</v>
      </c>
      <c r="D80" s="58">
        <f>D79+N75</f>
        <v>47726429883</v>
      </c>
      <c r="E80" s="57">
        <f t="shared" si="12"/>
        <v>43733</v>
      </c>
      <c r="F80" s="57">
        <v>43921</v>
      </c>
      <c r="G80" s="53">
        <f t="shared" si="13"/>
        <v>189</v>
      </c>
      <c r="H80" s="65">
        <v>366</v>
      </c>
      <c r="I80" s="52">
        <f t="shared" si="14"/>
        <v>47726429800</v>
      </c>
      <c r="J80" s="71">
        <f t="shared" si="15"/>
        <v>24645615388</v>
      </c>
    </row>
    <row r="81" spans="1:14" ht="19.5" customHeight="1" thickBot="1">
      <c r="B81" s="57">
        <v>43763</v>
      </c>
      <c r="C81" s="53" t="s">
        <v>4</v>
      </c>
      <c r="D81" s="58">
        <v>0</v>
      </c>
      <c r="E81" s="57">
        <f t="shared" si="12"/>
        <v>43763</v>
      </c>
      <c r="F81" s="57">
        <v>43921</v>
      </c>
      <c r="G81" s="53">
        <f t="shared" si="13"/>
        <v>159</v>
      </c>
      <c r="H81" s="65">
        <v>366</v>
      </c>
      <c r="I81" s="52">
        <f t="shared" si="14"/>
        <v>0</v>
      </c>
      <c r="J81" s="71">
        <f t="shared" si="15"/>
        <v>0</v>
      </c>
      <c r="K81" s="94" t="s">
        <v>15</v>
      </c>
      <c r="L81" s="95"/>
      <c r="M81" s="95"/>
      <c r="N81" s="96"/>
    </row>
    <row r="82" spans="1:14" ht="19.5" customHeight="1">
      <c r="B82" s="57">
        <v>43794</v>
      </c>
      <c r="C82" s="53" t="s">
        <v>4</v>
      </c>
      <c r="D82" s="58">
        <v>0</v>
      </c>
      <c r="E82" s="57">
        <f t="shared" si="12"/>
        <v>43794</v>
      </c>
      <c r="F82" s="57">
        <v>43921</v>
      </c>
      <c r="G82" s="53">
        <f t="shared" si="13"/>
        <v>128</v>
      </c>
      <c r="H82" s="65">
        <v>366</v>
      </c>
      <c r="I82" s="52">
        <f t="shared" si="14"/>
        <v>0</v>
      </c>
      <c r="J82" s="71">
        <f t="shared" si="15"/>
        <v>0</v>
      </c>
      <c r="K82" s="59" t="s">
        <v>11</v>
      </c>
      <c r="L82" s="60" t="s">
        <v>12</v>
      </c>
      <c r="M82" s="60" t="s">
        <v>13</v>
      </c>
      <c r="N82" s="61" t="s">
        <v>14</v>
      </c>
    </row>
    <row r="83" spans="1:14" ht="19.5" customHeight="1" thickBot="1">
      <c r="B83" s="57">
        <v>43824</v>
      </c>
      <c r="C83" s="53" t="s">
        <v>4</v>
      </c>
      <c r="D83" s="58">
        <v>0</v>
      </c>
      <c r="E83" s="57">
        <f t="shared" si="12"/>
        <v>43824</v>
      </c>
      <c r="F83" s="57">
        <v>43921</v>
      </c>
      <c r="G83" s="53">
        <f t="shared" si="13"/>
        <v>98</v>
      </c>
      <c r="H83" s="65">
        <v>366</v>
      </c>
      <c r="I83" s="52">
        <f t="shared" si="14"/>
        <v>0</v>
      </c>
      <c r="J83" s="71">
        <f t="shared" si="15"/>
        <v>0</v>
      </c>
      <c r="K83" s="62">
        <f>ROUNDDOWN(J87*1.6/100,0)</f>
        <v>4091432954</v>
      </c>
      <c r="L83" s="63">
        <f>ROUNDDOWN(K83*0.15315,0)</f>
        <v>626602956</v>
      </c>
      <c r="M83" s="56">
        <f>ROUNDDOWN(K83*0.05,0)</f>
        <v>204571647</v>
      </c>
      <c r="N83" s="64">
        <f>K83-L83-M83</f>
        <v>3260258351</v>
      </c>
    </row>
    <row r="84" spans="1:14" ht="19.5" customHeight="1">
      <c r="B84" s="57">
        <v>43855</v>
      </c>
      <c r="C84" s="53" t="s">
        <v>4</v>
      </c>
      <c r="D84" s="58">
        <v>0</v>
      </c>
      <c r="E84" s="57">
        <f t="shared" si="12"/>
        <v>43855</v>
      </c>
      <c r="F84" s="57">
        <v>43921</v>
      </c>
      <c r="G84" s="53">
        <f t="shared" si="13"/>
        <v>67</v>
      </c>
      <c r="H84" s="65">
        <v>366</v>
      </c>
      <c r="I84" s="52">
        <f t="shared" si="14"/>
        <v>0</v>
      </c>
      <c r="J84" s="71">
        <f t="shared" si="15"/>
        <v>0</v>
      </c>
      <c r="L84" s="53" t="s">
        <v>16</v>
      </c>
    </row>
    <row r="85" spans="1:14" ht="19.5" customHeight="1">
      <c r="B85" s="57">
        <v>43886</v>
      </c>
      <c r="C85" s="53" t="s">
        <v>4</v>
      </c>
      <c r="D85" s="58">
        <v>0</v>
      </c>
      <c r="E85" s="57">
        <f t="shared" si="12"/>
        <v>43886</v>
      </c>
      <c r="F85" s="57">
        <v>43921</v>
      </c>
      <c r="G85" s="65">
        <f t="shared" si="13"/>
        <v>36</v>
      </c>
      <c r="H85" s="65">
        <v>366</v>
      </c>
      <c r="I85" s="52">
        <f t="shared" si="14"/>
        <v>0</v>
      </c>
      <c r="J85" s="71">
        <f t="shared" si="15"/>
        <v>0</v>
      </c>
    </row>
    <row r="86" spans="1:14" ht="19.5" customHeight="1">
      <c r="B86" s="57">
        <v>43915</v>
      </c>
      <c r="C86" s="53" t="s">
        <v>4</v>
      </c>
      <c r="D86" s="58">
        <v>0</v>
      </c>
      <c r="E86" s="57">
        <f t="shared" si="12"/>
        <v>43915</v>
      </c>
      <c r="F86" s="57">
        <v>43921</v>
      </c>
      <c r="G86" s="53">
        <f t="shared" si="13"/>
        <v>7</v>
      </c>
      <c r="H86" s="65">
        <v>366</v>
      </c>
      <c r="I86" s="52">
        <f t="shared" si="14"/>
        <v>0</v>
      </c>
      <c r="J86" s="71">
        <f t="shared" si="15"/>
        <v>0</v>
      </c>
    </row>
    <row r="87" spans="1:14" ht="19.5" customHeight="1">
      <c r="D87" s="58">
        <f>SUM(D74:D86)</f>
        <v>334085009181</v>
      </c>
      <c r="J87" s="71">
        <f>SUM(J74:J86)</f>
        <v>255714559663</v>
      </c>
    </row>
    <row r="88" spans="1:14" ht="19.5" customHeight="1">
      <c r="A88" s="53" t="s">
        <v>33</v>
      </c>
      <c r="B88" s="57">
        <v>43922</v>
      </c>
      <c r="C88" s="53" t="s">
        <v>5</v>
      </c>
      <c r="D88" s="58">
        <f>D87+N83</f>
        <v>337345267532</v>
      </c>
      <c r="E88" s="57">
        <f t="shared" ref="E88:E100" si="16">B88</f>
        <v>43922</v>
      </c>
      <c r="F88" s="57">
        <v>44286</v>
      </c>
      <c r="G88" s="53">
        <f t="shared" ref="G88:G100" si="17">F88-B88+1</f>
        <v>365</v>
      </c>
      <c r="H88" s="53">
        <v>365</v>
      </c>
      <c r="I88" s="52">
        <f t="shared" ref="I88:I100" si="18">ROUNDDOWN(D88/100,0)*100</f>
        <v>337345267500</v>
      </c>
      <c r="J88" s="71">
        <f t="shared" ref="J88:J100" si="19">ROUNDDOWN(I88*G88/H88,0)</f>
        <v>337345267500</v>
      </c>
    </row>
    <row r="89" spans="1:14" ht="19.5" customHeight="1">
      <c r="B89" s="57">
        <v>43946</v>
      </c>
      <c r="C89" s="53" t="s">
        <v>4</v>
      </c>
      <c r="D89" s="58">
        <v>0</v>
      </c>
      <c r="E89" s="57">
        <f t="shared" si="16"/>
        <v>43946</v>
      </c>
      <c r="F89" s="57">
        <v>44286</v>
      </c>
      <c r="G89" s="53">
        <f t="shared" si="17"/>
        <v>341</v>
      </c>
      <c r="H89" s="53">
        <v>365</v>
      </c>
      <c r="I89" s="52">
        <f t="shared" si="18"/>
        <v>0</v>
      </c>
      <c r="J89" s="71">
        <f t="shared" si="19"/>
        <v>0</v>
      </c>
    </row>
    <row r="90" spans="1:14" ht="19.5" customHeight="1">
      <c r="B90" s="57">
        <v>43976</v>
      </c>
      <c r="C90" s="53" t="s">
        <v>4</v>
      </c>
      <c r="D90" s="58">
        <v>0</v>
      </c>
      <c r="E90" s="57">
        <f t="shared" si="16"/>
        <v>43976</v>
      </c>
      <c r="F90" s="57">
        <v>44286</v>
      </c>
      <c r="G90" s="53">
        <f t="shared" si="17"/>
        <v>311</v>
      </c>
      <c r="H90" s="53">
        <v>365</v>
      </c>
      <c r="I90" s="52">
        <f t="shared" si="18"/>
        <v>0</v>
      </c>
      <c r="J90" s="71">
        <f t="shared" si="19"/>
        <v>0</v>
      </c>
    </row>
    <row r="91" spans="1:14" ht="19.5" customHeight="1">
      <c r="B91" s="57">
        <v>44007</v>
      </c>
      <c r="C91" s="53" t="s">
        <v>4</v>
      </c>
      <c r="D91" s="58">
        <v>0</v>
      </c>
      <c r="E91" s="57">
        <f t="shared" si="16"/>
        <v>44007</v>
      </c>
      <c r="F91" s="57">
        <v>44286</v>
      </c>
      <c r="G91" s="53">
        <f t="shared" si="17"/>
        <v>280</v>
      </c>
      <c r="H91" s="53">
        <v>365</v>
      </c>
      <c r="I91" s="52">
        <f t="shared" si="18"/>
        <v>0</v>
      </c>
      <c r="J91" s="71">
        <f t="shared" si="19"/>
        <v>0</v>
      </c>
    </row>
    <row r="92" spans="1:14" ht="19.5" customHeight="1">
      <c r="B92" s="57">
        <v>44037</v>
      </c>
      <c r="C92" s="53" t="s">
        <v>4</v>
      </c>
      <c r="D92" s="58"/>
      <c r="E92" s="57">
        <f t="shared" si="16"/>
        <v>44037</v>
      </c>
      <c r="F92" s="57">
        <v>44286</v>
      </c>
      <c r="G92" s="53">
        <f t="shared" si="17"/>
        <v>250</v>
      </c>
      <c r="H92" s="53">
        <v>365</v>
      </c>
      <c r="I92" s="52">
        <f t="shared" si="18"/>
        <v>0</v>
      </c>
      <c r="J92" s="71">
        <f t="shared" si="19"/>
        <v>0</v>
      </c>
    </row>
    <row r="93" spans="1:14" ht="19.5" customHeight="1">
      <c r="B93" s="57">
        <v>44068</v>
      </c>
      <c r="C93" s="53" t="s">
        <v>4</v>
      </c>
      <c r="D93" s="58"/>
      <c r="E93" s="57">
        <f t="shared" si="16"/>
        <v>44068</v>
      </c>
      <c r="F93" s="57">
        <v>44286</v>
      </c>
      <c r="G93" s="53">
        <f t="shared" si="17"/>
        <v>219</v>
      </c>
      <c r="H93" s="53">
        <v>365</v>
      </c>
      <c r="I93" s="52">
        <f t="shared" si="18"/>
        <v>0</v>
      </c>
      <c r="J93" s="71">
        <f t="shared" si="19"/>
        <v>0</v>
      </c>
    </row>
    <row r="94" spans="1:14" ht="19.5" customHeight="1" thickBot="1">
      <c r="B94" s="57">
        <v>44099</v>
      </c>
      <c r="C94" s="53" t="s">
        <v>4</v>
      </c>
      <c r="D94" s="58">
        <v>0</v>
      </c>
      <c r="E94" s="57">
        <f t="shared" si="16"/>
        <v>44099</v>
      </c>
      <c r="F94" s="57">
        <v>44286</v>
      </c>
      <c r="G94" s="53">
        <f t="shared" si="17"/>
        <v>188</v>
      </c>
      <c r="H94" s="53">
        <v>365</v>
      </c>
      <c r="I94" s="52">
        <f t="shared" si="18"/>
        <v>0</v>
      </c>
      <c r="J94" s="71">
        <f t="shared" si="19"/>
        <v>0</v>
      </c>
    </row>
    <row r="95" spans="1:14" ht="19.5" customHeight="1" thickBot="1">
      <c r="B95" s="57">
        <v>44129</v>
      </c>
      <c r="C95" s="53" t="s">
        <v>4</v>
      </c>
      <c r="D95" s="58">
        <v>0</v>
      </c>
      <c r="E95" s="57">
        <f t="shared" si="16"/>
        <v>44129</v>
      </c>
      <c r="F95" s="57">
        <v>44286</v>
      </c>
      <c r="G95" s="53">
        <f t="shared" si="17"/>
        <v>158</v>
      </c>
      <c r="H95" s="53">
        <v>365</v>
      </c>
      <c r="I95" s="52">
        <f t="shared" si="18"/>
        <v>0</v>
      </c>
      <c r="J95" s="71">
        <f t="shared" si="19"/>
        <v>0</v>
      </c>
      <c r="K95" s="94" t="s">
        <v>15</v>
      </c>
      <c r="L95" s="95"/>
      <c r="M95" s="95"/>
      <c r="N95" s="96"/>
    </row>
    <row r="96" spans="1:14" ht="19.5" customHeight="1">
      <c r="B96" s="57">
        <v>44160</v>
      </c>
      <c r="C96" s="53" t="s">
        <v>4</v>
      </c>
      <c r="D96" s="58">
        <v>0</v>
      </c>
      <c r="E96" s="57">
        <f t="shared" si="16"/>
        <v>44160</v>
      </c>
      <c r="F96" s="57">
        <v>44286</v>
      </c>
      <c r="G96" s="53">
        <f t="shared" si="17"/>
        <v>127</v>
      </c>
      <c r="H96" s="53">
        <v>365</v>
      </c>
      <c r="I96" s="52">
        <f t="shared" si="18"/>
        <v>0</v>
      </c>
      <c r="J96" s="71">
        <f t="shared" si="19"/>
        <v>0</v>
      </c>
      <c r="K96" s="59" t="s">
        <v>11</v>
      </c>
      <c r="L96" s="60" t="s">
        <v>12</v>
      </c>
      <c r="M96" s="60" t="s">
        <v>13</v>
      </c>
      <c r="N96" s="61" t="s">
        <v>14</v>
      </c>
    </row>
    <row r="97" spans="1:14" ht="19.5" customHeight="1" thickBot="1">
      <c r="B97" s="57">
        <v>44190</v>
      </c>
      <c r="C97" s="53" t="s">
        <v>4</v>
      </c>
      <c r="D97" s="58">
        <v>0</v>
      </c>
      <c r="E97" s="57">
        <f t="shared" si="16"/>
        <v>44190</v>
      </c>
      <c r="F97" s="57">
        <v>44286</v>
      </c>
      <c r="G97" s="53">
        <f t="shared" si="17"/>
        <v>97</v>
      </c>
      <c r="H97" s="53">
        <v>365</v>
      </c>
      <c r="I97" s="52">
        <f t="shared" si="18"/>
        <v>0</v>
      </c>
      <c r="J97" s="71">
        <f t="shared" si="19"/>
        <v>0</v>
      </c>
      <c r="K97" s="62">
        <f>ROUNDDOWN(J101*1.6/100,0)</f>
        <v>5397524280</v>
      </c>
      <c r="L97" s="63">
        <f>ROUNDDOWN(K97*0.15315,0)</f>
        <v>826630843</v>
      </c>
      <c r="M97" s="56">
        <f>ROUNDDOWN(K97*0.05,0)</f>
        <v>269876214</v>
      </c>
      <c r="N97" s="64">
        <f>K97-L97-M97</f>
        <v>4301017223</v>
      </c>
    </row>
    <row r="98" spans="1:14" ht="19.5" customHeight="1">
      <c r="B98" s="57">
        <v>44221</v>
      </c>
      <c r="C98" s="53" t="s">
        <v>4</v>
      </c>
      <c r="D98" s="58">
        <v>0</v>
      </c>
      <c r="E98" s="57">
        <f t="shared" si="16"/>
        <v>44221</v>
      </c>
      <c r="F98" s="57">
        <v>44286</v>
      </c>
      <c r="G98" s="53">
        <f t="shared" si="17"/>
        <v>66</v>
      </c>
      <c r="H98" s="53">
        <v>365</v>
      </c>
      <c r="I98" s="52">
        <f t="shared" si="18"/>
        <v>0</v>
      </c>
      <c r="J98" s="71">
        <f t="shared" si="19"/>
        <v>0</v>
      </c>
      <c r="L98" s="53" t="s">
        <v>16</v>
      </c>
    </row>
    <row r="99" spans="1:14" ht="19.5" customHeight="1">
      <c r="B99" s="57">
        <v>44252</v>
      </c>
      <c r="C99" s="53" t="s">
        <v>4</v>
      </c>
      <c r="D99" s="58">
        <v>0</v>
      </c>
      <c r="E99" s="57">
        <f t="shared" si="16"/>
        <v>44252</v>
      </c>
      <c r="F99" s="57">
        <v>44286</v>
      </c>
      <c r="G99" s="53">
        <f t="shared" si="17"/>
        <v>35</v>
      </c>
      <c r="H99" s="53">
        <v>365</v>
      </c>
      <c r="I99" s="52">
        <f t="shared" si="18"/>
        <v>0</v>
      </c>
      <c r="J99" s="71">
        <f t="shared" si="19"/>
        <v>0</v>
      </c>
    </row>
    <row r="100" spans="1:14" ht="19.5" customHeight="1">
      <c r="B100" s="57">
        <v>44280</v>
      </c>
      <c r="C100" s="53" t="s">
        <v>4</v>
      </c>
      <c r="D100" s="58">
        <v>0</v>
      </c>
      <c r="E100" s="57">
        <f t="shared" si="16"/>
        <v>44280</v>
      </c>
      <c r="F100" s="57">
        <v>44286</v>
      </c>
      <c r="G100" s="53">
        <f t="shared" si="17"/>
        <v>7</v>
      </c>
      <c r="H100" s="53">
        <v>365</v>
      </c>
      <c r="I100" s="52">
        <f t="shared" si="18"/>
        <v>0</v>
      </c>
      <c r="J100" s="71">
        <f t="shared" si="19"/>
        <v>0</v>
      </c>
    </row>
    <row r="101" spans="1:14" ht="19.5" customHeight="1">
      <c r="D101" s="58">
        <f>SUM(D88:D100)</f>
        <v>337345267532</v>
      </c>
      <c r="J101" s="71">
        <f>SUM(J88:J100)</f>
        <v>337345267500</v>
      </c>
    </row>
    <row r="102" spans="1:14" ht="19.5" customHeight="1">
      <c r="A102" s="53" t="s">
        <v>34</v>
      </c>
      <c r="B102" s="57">
        <v>44287</v>
      </c>
      <c r="C102" s="53" t="s">
        <v>5</v>
      </c>
      <c r="D102" s="66">
        <f>D101+N97</f>
        <v>341646284755</v>
      </c>
      <c r="E102" s="57">
        <f t="shared" ref="E102:E114" si="20">B102</f>
        <v>44287</v>
      </c>
      <c r="F102" s="57">
        <v>44651</v>
      </c>
      <c r="G102" s="53">
        <f t="shared" ref="G102:G114" si="21">F102-B102+1</f>
        <v>365</v>
      </c>
      <c r="H102" s="53">
        <v>365</v>
      </c>
      <c r="I102" s="52">
        <f t="shared" ref="I102:I114" si="22">ROUNDDOWN(D102/100,0)*100</f>
        <v>341646284700</v>
      </c>
      <c r="J102" s="71">
        <f t="shared" ref="J102:J114" si="23">ROUNDDOWN(I102*G102/H102,0)</f>
        <v>341646284700</v>
      </c>
    </row>
    <row r="103" spans="1:14" ht="19.5" customHeight="1">
      <c r="B103" s="57">
        <v>44311</v>
      </c>
      <c r="C103" s="53" t="s">
        <v>4</v>
      </c>
      <c r="D103" s="58">
        <v>0</v>
      </c>
      <c r="E103" s="57">
        <f t="shared" si="20"/>
        <v>44311</v>
      </c>
      <c r="F103" s="57">
        <v>44651</v>
      </c>
      <c r="G103" s="53">
        <f t="shared" si="21"/>
        <v>341</v>
      </c>
      <c r="H103" s="53">
        <v>365</v>
      </c>
      <c r="I103" s="52">
        <f t="shared" si="22"/>
        <v>0</v>
      </c>
      <c r="J103" s="71">
        <f t="shared" si="23"/>
        <v>0</v>
      </c>
    </row>
    <row r="104" spans="1:14" ht="19.5" customHeight="1">
      <c r="B104" s="57">
        <v>44341</v>
      </c>
      <c r="C104" s="53" t="s">
        <v>4</v>
      </c>
      <c r="D104" s="58">
        <v>0</v>
      </c>
      <c r="E104" s="57">
        <f t="shared" si="20"/>
        <v>44341</v>
      </c>
      <c r="F104" s="57">
        <v>44651</v>
      </c>
      <c r="G104" s="53">
        <f t="shared" si="21"/>
        <v>311</v>
      </c>
      <c r="H104" s="53">
        <v>365</v>
      </c>
      <c r="I104" s="52">
        <f t="shared" si="22"/>
        <v>0</v>
      </c>
      <c r="J104" s="71">
        <f t="shared" si="23"/>
        <v>0</v>
      </c>
    </row>
    <row r="105" spans="1:14" ht="19.5" customHeight="1">
      <c r="B105" s="57">
        <v>44372</v>
      </c>
      <c r="C105" s="53" t="s">
        <v>4</v>
      </c>
      <c r="D105" s="58">
        <v>0</v>
      </c>
      <c r="E105" s="57">
        <f t="shared" si="20"/>
        <v>44372</v>
      </c>
      <c r="F105" s="57">
        <v>44651</v>
      </c>
      <c r="G105" s="53">
        <f t="shared" si="21"/>
        <v>280</v>
      </c>
      <c r="H105" s="53">
        <v>365</v>
      </c>
      <c r="I105" s="52">
        <f t="shared" si="22"/>
        <v>0</v>
      </c>
      <c r="J105" s="71">
        <f t="shared" si="23"/>
        <v>0</v>
      </c>
    </row>
    <row r="106" spans="1:14" ht="19.5" customHeight="1">
      <c r="B106" s="57">
        <v>44402</v>
      </c>
      <c r="C106" s="53" t="s">
        <v>4</v>
      </c>
      <c r="D106" s="58">
        <v>0</v>
      </c>
      <c r="E106" s="57">
        <f t="shared" si="20"/>
        <v>44402</v>
      </c>
      <c r="F106" s="57">
        <v>44651</v>
      </c>
      <c r="G106" s="53">
        <f t="shared" si="21"/>
        <v>250</v>
      </c>
      <c r="H106" s="53">
        <v>365</v>
      </c>
      <c r="I106" s="52">
        <f t="shared" si="22"/>
        <v>0</v>
      </c>
      <c r="J106" s="71">
        <f t="shared" si="23"/>
        <v>0</v>
      </c>
    </row>
    <row r="107" spans="1:14" ht="19.5" customHeight="1">
      <c r="B107" s="57">
        <v>44433</v>
      </c>
      <c r="C107" s="53" t="s">
        <v>4</v>
      </c>
      <c r="D107" s="58">
        <v>0</v>
      </c>
      <c r="E107" s="57">
        <f t="shared" si="20"/>
        <v>44433</v>
      </c>
      <c r="F107" s="57">
        <v>44651</v>
      </c>
      <c r="G107" s="53">
        <f t="shared" si="21"/>
        <v>219</v>
      </c>
      <c r="H107" s="53">
        <v>365</v>
      </c>
      <c r="I107" s="52">
        <f t="shared" si="22"/>
        <v>0</v>
      </c>
      <c r="J107" s="71">
        <f t="shared" si="23"/>
        <v>0</v>
      </c>
    </row>
    <row r="108" spans="1:14" ht="19.5" customHeight="1" thickBot="1">
      <c r="B108" s="57">
        <v>44464</v>
      </c>
      <c r="C108" s="53" t="s">
        <v>4</v>
      </c>
      <c r="D108" s="58">
        <v>0</v>
      </c>
      <c r="E108" s="57">
        <f t="shared" si="20"/>
        <v>44464</v>
      </c>
      <c r="F108" s="57">
        <v>44651</v>
      </c>
      <c r="G108" s="53">
        <f t="shared" si="21"/>
        <v>188</v>
      </c>
      <c r="H108" s="53">
        <v>365</v>
      </c>
      <c r="I108" s="52">
        <f t="shared" si="22"/>
        <v>0</v>
      </c>
      <c r="J108" s="71">
        <f t="shared" si="23"/>
        <v>0</v>
      </c>
    </row>
    <row r="109" spans="1:14" ht="19.5" customHeight="1" thickBot="1">
      <c r="B109" s="57">
        <v>44494</v>
      </c>
      <c r="C109" s="53" t="s">
        <v>4</v>
      </c>
      <c r="D109" s="58">
        <v>0</v>
      </c>
      <c r="E109" s="57">
        <f t="shared" si="20"/>
        <v>44494</v>
      </c>
      <c r="F109" s="57">
        <v>44651</v>
      </c>
      <c r="G109" s="53">
        <f t="shared" si="21"/>
        <v>158</v>
      </c>
      <c r="H109" s="53">
        <v>365</v>
      </c>
      <c r="I109" s="52">
        <f t="shared" si="22"/>
        <v>0</v>
      </c>
      <c r="J109" s="71">
        <f t="shared" si="23"/>
        <v>0</v>
      </c>
      <c r="K109" s="94" t="s">
        <v>15</v>
      </c>
      <c r="L109" s="95"/>
      <c r="M109" s="95"/>
      <c r="N109" s="96"/>
    </row>
    <row r="110" spans="1:14" ht="19.5" customHeight="1">
      <c r="B110" s="57">
        <v>44525</v>
      </c>
      <c r="C110" s="53" t="s">
        <v>4</v>
      </c>
      <c r="D110" s="58">
        <v>0</v>
      </c>
      <c r="E110" s="57">
        <f t="shared" si="20"/>
        <v>44525</v>
      </c>
      <c r="F110" s="57">
        <v>44651</v>
      </c>
      <c r="G110" s="53">
        <f t="shared" si="21"/>
        <v>127</v>
      </c>
      <c r="H110" s="53">
        <v>365</v>
      </c>
      <c r="I110" s="52">
        <f t="shared" si="22"/>
        <v>0</v>
      </c>
      <c r="J110" s="71">
        <f t="shared" si="23"/>
        <v>0</v>
      </c>
      <c r="K110" s="59" t="s">
        <v>11</v>
      </c>
      <c r="L110" s="60" t="s">
        <v>12</v>
      </c>
      <c r="M110" s="60" t="s">
        <v>13</v>
      </c>
      <c r="N110" s="61" t="s">
        <v>14</v>
      </c>
    </row>
    <row r="111" spans="1:14" ht="19.5" customHeight="1" thickBot="1">
      <c r="B111" s="57">
        <v>44555</v>
      </c>
      <c r="C111" s="53" t="s">
        <v>4</v>
      </c>
      <c r="D111" s="58">
        <v>0</v>
      </c>
      <c r="E111" s="57">
        <f t="shared" si="20"/>
        <v>44555</v>
      </c>
      <c r="F111" s="57">
        <v>44651</v>
      </c>
      <c r="G111" s="53">
        <f t="shared" si="21"/>
        <v>97</v>
      </c>
      <c r="H111" s="53">
        <v>365</v>
      </c>
      <c r="I111" s="52">
        <f t="shared" si="22"/>
        <v>0</v>
      </c>
      <c r="J111" s="71">
        <f t="shared" si="23"/>
        <v>0</v>
      </c>
      <c r="K111" s="62">
        <f>ROUNDDOWN(J115*1.6/100,0)</f>
        <v>5466340555</v>
      </c>
      <c r="L111" s="63">
        <f>ROUNDDOWN(K111*0.15315,0)</f>
        <v>837170055</v>
      </c>
      <c r="M111" s="56">
        <f>ROUNDDOWN(K111*0.05,0)</f>
        <v>273317027</v>
      </c>
      <c r="N111" s="64">
        <f>K111-L111-M111</f>
        <v>4355853473</v>
      </c>
    </row>
    <row r="112" spans="1:14" ht="19.5" customHeight="1">
      <c r="B112" s="57">
        <v>44586</v>
      </c>
      <c r="C112" s="53" t="s">
        <v>4</v>
      </c>
      <c r="D112" s="58">
        <v>0</v>
      </c>
      <c r="E112" s="57">
        <f t="shared" si="20"/>
        <v>44586</v>
      </c>
      <c r="F112" s="57">
        <v>44651</v>
      </c>
      <c r="G112" s="53">
        <f t="shared" si="21"/>
        <v>66</v>
      </c>
      <c r="H112" s="53">
        <v>365</v>
      </c>
      <c r="I112" s="52">
        <f t="shared" si="22"/>
        <v>0</v>
      </c>
      <c r="J112" s="71">
        <f t="shared" si="23"/>
        <v>0</v>
      </c>
      <c r="L112" s="53" t="s">
        <v>16</v>
      </c>
    </row>
    <row r="113" spans="1:14" ht="19.5" customHeight="1">
      <c r="B113" s="57">
        <v>44617</v>
      </c>
      <c r="C113" s="53" t="s">
        <v>4</v>
      </c>
      <c r="D113" s="58">
        <v>0</v>
      </c>
      <c r="E113" s="57">
        <f t="shared" si="20"/>
        <v>44617</v>
      </c>
      <c r="F113" s="57">
        <v>44651</v>
      </c>
      <c r="G113" s="53">
        <f t="shared" si="21"/>
        <v>35</v>
      </c>
      <c r="H113" s="53">
        <v>365</v>
      </c>
      <c r="I113" s="52">
        <f t="shared" si="22"/>
        <v>0</v>
      </c>
      <c r="J113" s="71">
        <f t="shared" si="23"/>
        <v>0</v>
      </c>
    </row>
    <row r="114" spans="1:14" ht="19.5" customHeight="1">
      <c r="B114" s="57">
        <v>44645</v>
      </c>
      <c r="C114" s="53" t="s">
        <v>4</v>
      </c>
      <c r="D114" s="58">
        <v>0</v>
      </c>
      <c r="E114" s="57">
        <f t="shared" si="20"/>
        <v>44645</v>
      </c>
      <c r="F114" s="57">
        <v>44651</v>
      </c>
      <c r="G114" s="53">
        <f t="shared" si="21"/>
        <v>7</v>
      </c>
      <c r="H114" s="53">
        <v>365</v>
      </c>
      <c r="I114" s="52">
        <f t="shared" si="22"/>
        <v>0</v>
      </c>
      <c r="J114" s="71">
        <f t="shared" si="23"/>
        <v>0</v>
      </c>
    </row>
    <row r="115" spans="1:14" ht="19.5" customHeight="1">
      <c r="D115" s="58">
        <f>SUM(D102:D114)</f>
        <v>341646284755</v>
      </c>
      <c r="J115" s="71">
        <f>SUM(J102:J114)</f>
        <v>341646284700</v>
      </c>
    </row>
    <row r="116" spans="1:14" ht="19.5" customHeight="1">
      <c r="A116" s="53" t="s">
        <v>35</v>
      </c>
      <c r="B116" s="57">
        <v>44652</v>
      </c>
      <c r="C116" s="53" t="s">
        <v>5</v>
      </c>
      <c r="D116" s="66">
        <f>D115+N111</f>
        <v>346002138228</v>
      </c>
      <c r="E116" s="57">
        <f t="shared" ref="E116:E128" si="24">B116</f>
        <v>44652</v>
      </c>
      <c r="F116" s="57">
        <v>45016</v>
      </c>
      <c r="G116" s="53">
        <f t="shared" ref="G116:G128" si="25">F116-B116+1</f>
        <v>365</v>
      </c>
      <c r="H116" s="53">
        <v>365</v>
      </c>
      <c r="I116" s="52">
        <f t="shared" ref="I116:I128" si="26">ROUNDDOWN(D116/100,0)*100</f>
        <v>346002138200</v>
      </c>
      <c r="J116" s="74">
        <f t="shared" ref="J116:J128" si="27">ROUNDDOWN(I116*G116/H116,0)</f>
        <v>346002138200</v>
      </c>
    </row>
    <row r="117" spans="1:14" ht="19.5" customHeight="1">
      <c r="B117" s="57">
        <v>44676</v>
      </c>
      <c r="C117" s="53" t="s">
        <v>4</v>
      </c>
      <c r="D117" s="58">
        <v>0</v>
      </c>
      <c r="E117" s="57">
        <f t="shared" si="24"/>
        <v>44676</v>
      </c>
      <c r="F117" s="57">
        <v>45016</v>
      </c>
      <c r="G117" s="53">
        <f t="shared" si="25"/>
        <v>341</v>
      </c>
      <c r="H117" s="53">
        <v>365</v>
      </c>
      <c r="I117" s="52">
        <f t="shared" si="26"/>
        <v>0</v>
      </c>
      <c r="J117" s="74">
        <f t="shared" si="27"/>
        <v>0</v>
      </c>
    </row>
    <row r="118" spans="1:14" ht="19.5" customHeight="1">
      <c r="B118" s="57">
        <v>44706</v>
      </c>
      <c r="C118" s="53" t="s">
        <v>4</v>
      </c>
      <c r="D118" s="58">
        <v>0</v>
      </c>
      <c r="E118" s="57">
        <f t="shared" si="24"/>
        <v>44706</v>
      </c>
      <c r="F118" s="57">
        <v>45016</v>
      </c>
      <c r="G118" s="53">
        <f t="shared" si="25"/>
        <v>311</v>
      </c>
      <c r="H118" s="53">
        <v>365</v>
      </c>
      <c r="I118" s="52">
        <f t="shared" si="26"/>
        <v>0</v>
      </c>
      <c r="J118" s="74">
        <f t="shared" si="27"/>
        <v>0</v>
      </c>
    </row>
    <row r="119" spans="1:14" ht="19.5" customHeight="1">
      <c r="B119" s="57">
        <v>44737</v>
      </c>
      <c r="C119" s="53" t="s">
        <v>4</v>
      </c>
      <c r="D119" s="58">
        <v>0</v>
      </c>
      <c r="E119" s="57">
        <f t="shared" si="24"/>
        <v>44737</v>
      </c>
      <c r="F119" s="57">
        <v>45016</v>
      </c>
      <c r="G119" s="53">
        <f t="shared" si="25"/>
        <v>280</v>
      </c>
      <c r="H119" s="53">
        <v>365</v>
      </c>
      <c r="I119" s="52">
        <f t="shared" si="26"/>
        <v>0</v>
      </c>
      <c r="J119" s="74">
        <f t="shared" si="27"/>
        <v>0</v>
      </c>
    </row>
    <row r="120" spans="1:14" ht="19.5" customHeight="1">
      <c r="B120" s="57">
        <v>44767</v>
      </c>
      <c r="C120" s="53" t="s">
        <v>4</v>
      </c>
      <c r="D120" s="58">
        <v>0</v>
      </c>
      <c r="E120" s="57">
        <f t="shared" si="24"/>
        <v>44767</v>
      </c>
      <c r="F120" s="57">
        <v>45016</v>
      </c>
      <c r="G120" s="53">
        <f t="shared" si="25"/>
        <v>250</v>
      </c>
      <c r="H120" s="53">
        <v>365</v>
      </c>
      <c r="I120" s="52">
        <f t="shared" si="26"/>
        <v>0</v>
      </c>
      <c r="J120" s="74">
        <f t="shared" si="27"/>
        <v>0</v>
      </c>
    </row>
    <row r="121" spans="1:14" ht="19.5" customHeight="1">
      <c r="B121" s="57">
        <v>44798</v>
      </c>
      <c r="C121" s="53" t="s">
        <v>4</v>
      </c>
      <c r="D121" s="58">
        <v>0</v>
      </c>
      <c r="E121" s="57">
        <f t="shared" si="24"/>
        <v>44798</v>
      </c>
      <c r="F121" s="57">
        <v>45016</v>
      </c>
      <c r="G121" s="53">
        <f t="shared" si="25"/>
        <v>219</v>
      </c>
      <c r="H121" s="53">
        <v>365</v>
      </c>
      <c r="I121" s="52">
        <f t="shared" si="26"/>
        <v>0</v>
      </c>
      <c r="J121" s="74">
        <f t="shared" si="27"/>
        <v>0</v>
      </c>
    </row>
    <row r="122" spans="1:14" ht="19.5" customHeight="1" thickBot="1">
      <c r="B122" s="57">
        <v>44829</v>
      </c>
      <c r="C122" s="53" t="s">
        <v>4</v>
      </c>
      <c r="D122" s="58">
        <v>0</v>
      </c>
      <c r="E122" s="57">
        <f t="shared" si="24"/>
        <v>44829</v>
      </c>
      <c r="F122" s="57">
        <v>45016</v>
      </c>
      <c r="G122" s="53">
        <f t="shared" si="25"/>
        <v>188</v>
      </c>
      <c r="H122" s="53">
        <v>365</v>
      </c>
      <c r="I122" s="52">
        <f t="shared" si="26"/>
        <v>0</v>
      </c>
      <c r="J122" s="74">
        <f t="shared" si="27"/>
        <v>0</v>
      </c>
    </row>
    <row r="123" spans="1:14" ht="19.5" customHeight="1" thickBot="1">
      <c r="B123" s="57">
        <v>44859</v>
      </c>
      <c r="C123" s="53" t="s">
        <v>4</v>
      </c>
      <c r="D123" s="58">
        <v>0</v>
      </c>
      <c r="E123" s="57">
        <f t="shared" si="24"/>
        <v>44859</v>
      </c>
      <c r="F123" s="57">
        <v>45016</v>
      </c>
      <c r="G123" s="53">
        <f t="shared" si="25"/>
        <v>158</v>
      </c>
      <c r="H123" s="53">
        <v>365</v>
      </c>
      <c r="I123" s="52">
        <f t="shared" si="26"/>
        <v>0</v>
      </c>
      <c r="J123" s="74">
        <f t="shared" si="27"/>
        <v>0</v>
      </c>
      <c r="K123" s="94" t="s">
        <v>15</v>
      </c>
      <c r="L123" s="95"/>
      <c r="M123" s="95"/>
      <c r="N123" s="96"/>
    </row>
    <row r="124" spans="1:14" ht="19.5" customHeight="1">
      <c r="B124" s="57">
        <v>44890</v>
      </c>
      <c r="C124" s="53" t="s">
        <v>4</v>
      </c>
      <c r="D124" s="58">
        <v>0</v>
      </c>
      <c r="E124" s="57">
        <f t="shared" si="24"/>
        <v>44890</v>
      </c>
      <c r="F124" s="57">
        <v>45016</v>
      </c>
      <c r="G124" s="53">
        <f t="shared" si="25"/>
        <v>127</v>
      </c>
      <c r="H124" s="53">
        <v>365</v>
      </c>
      <c r="I124" s="52">
        <f t="shared" si="26"/>
        <v>0</v>
      </c>
      <c r="J124" s="74">
        <f t="shared" si="27"/>
        <v>0</v>
      </c>
      <c r="K124" s="59" t="s">
        <v>11</v>
      </c>
      <c r="L124" s="60" t="s">
        <v>12</v>
      </c>
      <c r="M124" s="60" t="s">
        <v>13</v>
      </c>
      <c r="N124" s="61" t="s">
        <v>14</v>
      </c>
    </row>
    <row r="125" spans="1:14" ht="19.5" customHeight="1" thickBot="1">
      <c r="B125" s="57">
        <v>44920</v>
      </c>
      <c r="C125" s="53" t="s">
        <v>4</v>
      </c>
      <c r="D125" s="58">
        <v>0</v>
      </c>
      <c r="E125" s="57">
        <f t="shared" si="24"/>
        <v>44920</v>
      </c>
      <c r="F125" s="57">
        <v>45016</v>
      </c>
      <c r="G125" s="53">
        <f t="shared" si="25"/>
        <v>97</v>
      </c>
      <c r="H125" s="53">
        <v>365</v>
      </c>
      <c r="I125" s="52">
        <f t="shared" si="26"/>
        <v>0</v>
      </c>
      <c r="J125" s="74">
        <f t="shared" si="27"/>
        <v>0</v>
      </c>
      <c r="K125" s="62">
        <f>ROUNDDOWN(J129*1.6/100,0)</f>
        <v>5536034211</v>
      </c>
      <c r="L125" s="63">
        <f>ROUNDDOWN(K125*0.15315,0)</f>
        <v>847843639</v>
      </c>
      <c r="M125" s="56">
        <f>ROUNDDOWN(K125*0.05,0)</f>
        <v>276801710</v>
      </c>
      <c r="N125" s="64">
        <f>K125-L125-M125</f>
        <v>4411388862</v>
      </c>
    </row>
    <row r="126" spans="1:14" ht="19.5" customHeight="1">
      <c r="B126" s="57">
        <v>44951</v>
      </c>
      <c r="C126" s="53" t="s">
        <v>4</v>
      </c>
      <c r="D126" s="58">
        <v>0</v>
      </c>
      <c r="E126" s="57">
        <f t="shared" si="24"/>
        <v>44951</v>
      </c>
      <c r="F126" s="57">
        <v>45016</v>
      </c>
      <c r="G126" s="53">
        <f t="shared" si="25"/>
        <v>66</v>
      </c>
      <c r="H126" s="53">
        <v>365</v>
      </c>
      <c r="I126" s="52">
        <f t="shared" si="26"/>
        <v>0</v>
      </c>
      <c r="J126" s="74">
        <f t="shared" si="27"/>
        <v>0</v>
      </c>
      <c r="L126" s="53" t="s">
        <v>16</v>
      </c>
    </row>
    <row r="127" spans="1:14" ht="19.5" customHeight="1">
      <c r="B127" s="57">
        <v>44982</v>
      </c>
      <c r="C127" s="53" t="s">
        <v>4</v>
      </c>
      <c r="D127" s="58">
        <v>0</v>
      </c>
      <c r="E127" s="57">
        <f t="shared" si="24"/>
        <v>44982</v>
      </c>
      <c r="F127" s="57">
        <v>45016</v>
      </c>
      <c r="G127" s="53">
        <f t="shared" si="25"/>
        <v>35</v>
      </c>
      <c r="H127" s="53">
        <v>365</v>
      </c>
      <c r="I127" s="52">
        <f t="shared" si="26"/>
        <v>0</v>
      </c>
      <c r="J127" s="74">
        <f t="shared" si="27"/>
        <v>0</v>
      </c>
    </row>
    <row r="128" spans="1:14" ht="19.5" customHeight="1">
      <c r="B128" s="57">
        <v>45010</v>
      </c>
      <c r="C128" s="53" t="s">
        <v>4</v>
      </c>
      <c r="D128" s="58">
        <v>0</v>
      </c>
      <c r="E128" s="57">
        <f t="shared" si="24"/>
        <v>45010</v>
      </c>
      <c r="F128" s="57">
        <v>45016</v>
      </c>
      <c r="G128" s="53">
        <f t="shared" si="25"/>
        <v>7</v>
      </c>
      <c r="H128" s="53">
        <v>365</v>
      </c>
      <c r="I128" s="52">
        <f t="shared" si="26"/>
        <v>0</v>
      </c>
      <c r="J128" s="74">
        <f t="shared" si="27"/>
        <v>0</v>
      </c>
    </row>
    <row r="129" spans="2:10" ht="19.5" customHeight="1">
      <c r="D129" s="58">
        <f>SUM(D116:D128)</f>
        <v>346002138228</v>
      </c>
      <c r="J129" s="74">
        <f>SUM(J116:J128)</f>
        <v>346002138200</v>
      </c>
    </row>
    <row r="130" spans="2:10" ht="19.5" customHeight="1">
      <c r="B130" s="57">
        <v>45017</v>
      </c>
      <c r="C130" s="53" t="s">
        <v>5</v>
      </c>
      <c r="D130" s="58">
        <f>D129+N125</f>
        <v>350413527090</v>
      </c>
      <c r="E130" s="57">
        <f>B130</f>
        <v>45017</v>
      </c>
      <c r="F130" s="57">
        <v>45382</v>
      </c>
      <c r="G130" s="53">
        <f>F130-B130+1</f>
        <v>366</v>
      </c>
      <c r="H130" s="53">
        <v>365</v>
      </c>
      <c r="I130" s="52">
        <f>ROUNDDOWN(D130/100,0)*100</f>
        <v>350413527000</v>
      </c>
      <c r="J130" s="74">
        <f>ROUNDDOWN(I130*G130/H130,0)</f>
        <v>351373564060</v>
      </c>
    </row>
  </sheetData>
  <mergeCells count="9">
    <mergeCell ref="K95:N95"/>
    <mergeCell ref="K109:N109"/>
    <mergeCell ref="K123:N123"/>
    <mergeCell ref="A1:F1"/>
    <mergeCell ref="K41:N41"/>
    <mergeCell ref="K55:N55"/>
    <mergeCell ref="K67:N67"/>
    <mergeCell ref="K76:N76"/>
    <mergeCell ref="K81:N81"/>
  </mergeCells>
  <phoneticPr fontId="2"/>
  <pageMargins left="0.75" right="0.75" top="1" bottom="1" header="0.51200000000000001" footer="0.51200000000000001"/>
  <pageSetup paperSize="9" scale="55" orientation="landscape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70C0"/>
  </sheetPr>
  <dimension ref="A1:S104"/>
  <sheetViews>
    <sheetView zoomScale="75" workbookViewId="0">
      <selection activeCell="J17" sqref="J17"/>
    </sheetView>
  </sheetViews>
  <sheetFormatPr defaultRowHeight="14.25"/>
  <cols>
    <col min="1" max="1" width="9" style="38"/>
    <col min="2" max="2" width="12.125" style="38" bestFit="1" customWidth="1"/>
    <col min="3" max="3" width="9" style="38"/>
    <col min="4" max="4" width="18" style="38" bestFit="1" customWidth="1"/>
    <col min="5" max="5" width="11" style="38" customWidth="1"/>
    <col min="6" max="6" width="12.125" style="38" bestFit="1" customWidth="1"/>
    <col min="7" max="7" width="10.625" style="38" bestFit="1" customWidth="1"/>
    <col min="8" max="8" width="9.125" style="38" bestFit="1" customWidth="1"/>
    <col min="9" max="9" width="16.75" style="37" bestFit="1" customWidth="1"/>
    <col min="10" max="10" width="16.75" style="77" bestFit="1" customWidth="1"/>
    <col min="11" max="11" width="13.25" style="38" bestFit="1" customWidth="1"/>
    <col min="12" max="12" width="16.75" style="38" bestFit="1" customWidth="1"/>
    <col min="13" max="13" width="12.125" style="38" bestFit="1" customWidth="1"/>
    <col min="14" max="14" width="13.25" style="38" bestFit="1" customWidth="1"/>
    <col min="15" max="16384" width="9" style="38"/>
  </cols>
  <sheetData>
    <row r="1" spans="1:19" ht="18" customHeight="1">
      <c r="A1" s="102" t="s">
        <v>36</v>
      </c>
      <c r="B1" s="102"/>
      <c r="C1" s="102"/>
      <c r="D1" s="102"/>
      <c r="E1" s="102"/>
      <c r="F1" s="102"/>
      <c r="G1" s="102"/>
      <c r="H1" s="102"/>
    </row>
    <row r="3" spans="1:19" ht="19.5" customHeight="1" thickBot="1">
      <c r="B3" s="39" t="s">
        <v>1</v>
      </c>
      <c r="C3" s="39" t="s">
        <v>2</v>
      </c>
      <c r="D3" s="40" t="s">
        <v>3</v>
      </c>
      <c r="E3" s="40" t="s">
        <v>6</v>
      </c>
      <c r="F3" s="39" t="s">
        <v>7</v>
      </c>
      <c r="G3" s="39" t="s">
        <v>8</v>
      </c>
      <c r="H3" s="39" t="s">
        <v>9</v>
      </c>
      <c r="I3" s="41" t="s">
        <v>10</v>
      </c>
      <c r="J3" s="78"/>
      <c r="K3" s="39"/>
      <c r="L3" s="39"/>
      <c r="M3" s="39"/>
      <c r="N3" s="39"/>
      <c r="O3" s="39"/>
      <c r="P3" s="39"/>
      <c r="Q3" s="39"/>
      <c r="R3" s="39"/>
      <c r="S3" s="39"/>
    </row>
    <row r="4" spans="1:19" ht="19.5" customHeight="1">
      <c r="A4" s="38" t="s">
        <v>28</v>
      </c>
      <c r="B4" s="42">
        <v>42461</v>
      </c>
      <c r="C4" s="38" t="s">
        <v>5</v>
      </c>
      <c r="D4" s="43">
        <v>47000000000</v>
      </c>
      <c r="E4" s="42">
        <f t="shared" ref="E4:E16" si="0">B4</f>
        <v>42461</v>
      </c>
      <c r="F4" s="42">
        <v>42825</v>
      </c>
      <c r="G4" s="38">
        <f t="shared" ref="G4:G16" si="1">F4-B4+1</f>
        <v>365</v>
      </c>
      <c r="H4" s="38">
        <v>365</v>
      </c>
      <c r="I4" s="37">
        <f t="shared" ref="I4:I16" si="2">ROUNDDOWN(D4/100,0)*100</f>
        <v>47000000000</v>
      </c>
      <c r="J4" s="77">
        <f t="shared" ref="J4:J16" si="3">ROUNDDOWN(I4*G4/H4,0)</f>
        <v>47000000000</v>
      </c>
    </row>
    <row r="5" spans="1:19" ht="19.5" customHeight="1">
      <c r="B5" s="42">
        <v>42485</v>
      </c>
      <c r="C5" s="38" t="s">
        <v>4</v>
      </c>
      <c r="D5" s="43">
        <v>270647000</v>
      </c>
      <c r="E5" s="42">
        <f t="shared" si="0"/>
        <v>42485</v>
      </c>
      <c r="F5" s="42">
        <v>42825</v>
      </c>
      <c r="G5" s="38">
        <f t="shared" si="1"/>
        <v>341</v>
      </c>
      <c r="H5" s="38">
        <v>365</v>
      </c>
      <c r="I5" s="37">
        <f t="shared" si="2"/>
        <v>270647000</v>
      </c>
      <c r="J5" s="77">
        <f t="shared" si="3"/>
        <v>252851032</v>
      </c>
    </row>
    <row r="6" spans="1:19" ht="19.5" customHeight="1">
      <c r="B6" s="42">
        <v>42515</v>
      </c>
      <c r="C6" s="38" t="s">
        <v>4</v>
      </c>
      <c r="D6" s="43">
        <v>270647000</v>
      </c>
      <c r="E6" s="42">
        <f t="shared" si="0"/>
        <v>42515</v>
      </c>
      <c r="F6" s="42">
        <v>42825</v>
      </c>
      <c r="G6" s="38">
        <f t="shared" si="1"/>
        <v>311</v>
      </c>
      <c r="H6" s="38">
        <v>365</v>
      </c>
      <c r="I6" s="37">
        <f t="shared" si="2"/>
        <v>270647000</v>
      </c>
      <c r="J6" s="77">
        <f t="shared" si="3"/>
        <v>230606073</v>
      </c>
    </row>
    <row r="7" spans="1:19" ht="19.5" customHeight="1">
      <c r="B7" s="42">
        <v>42546</v>
      </c>
      <c r="C7" s="38" t="s">
        <v>4</v>
      </c>
      <c r="D7" s="43">
        <v>270647000</v>
      </c>
      <c r="E7" s="42">
        <f t="shared" si="0"/>
        <v>42546</v>
      </c>
      <c r="F7" s="42">
        <v>42825</v>
      </c>
      <c r="G7" s="38">
        <f t="shared" si="1"/>
        <v>280</v>
      </c>
      <c r="H7" s="38">
        <v>365</v>
      </c>
      <c r="I7" s="37">
        <f t="shared" si="2"/>
        <v>270647000</v>
      </c>
      <c r="J7" s="77">
        <f t="shared" si="3"/>
        <v>207619616</v>
      </c>
    </row>
    <row r="8" spans="1:19" ht="19.5" customHeight="1">
      <c r="B8" s="42">
        <v>42576</v>
      </c>
      <c r="C8" s="38" t="s">
        <v>4</v>
      </c>
      <c r="D8" s="43">
        <v>270647000</v>
      </c>
      <c r="E8" s="42">
        <f t="shared" si="0"/>
        <v>42576</v>
      </c>
      <c r="F8" s="42">
        <v>42825</v>
      </c>
      <c r="G8" s="38">
        <f t="shared" si="1"/>
        <v>250</v>
      </c>
      <c r="H8" s="38">
        <v>365</v>
      </c>
      <c r="I8" s="37">
        <f t="shared" si="2"/>
        <v>270647000</v>
      </c>
      <c r="J8" s="77">
        <f t="shared" si="3"/>
        <v>185374657</v>
      </c>
    </row>
    <row r="9" spans="1:19" ht="19.5" customHeight="1">
      <c r="B9" s="42">
        <v>42607</v>
      </c>
      <c r="C9" s="38" t="s">
        <v>4</v>
      </c>
      <c r="D9" s="43">
        <v>270647000</v>
      </c>
      <c r="E9" s="42">
        <f t="shared" si="0"/>
        <v>42607</v>
      </c>
      <c r="F9" s="42">
        <v>42825</v>
      </c>
      <c r="G9" s="38">
        <f t="shared" si="1"/>
        <v>219</v>
      </c>
      <c r="H9" s="38">
        <v>365</v>
      </c>
      <c r="I9" s="37">
        <f t="shared" si="2"/>
        <v>270647000</v>
      </c>
      <c r="J9" s="77">
        <f t="shared" si="3"/>
        <v>162388200</v>
      </c>
    </row>
    <row r="10" spans="1:19" ht="19.5" customHeight="1">
      <c r="B10" s="42">
        <v>42638</v>
      </c>
      <c r="C10" s="38" t="s">
        <v>4</v>
      </c>
      <c r="D10" s="43">
        <v>270647000</v>
      </c>
      <c r="E10" s="42">
        <f t="shared" si="0"/>
        <v>42638</v>
      </c>
      <c r="F10" s="42">
        <v>42825</v>
      </c>
      <c r="G10" s="38">
        <f t="shared" si="1"/>
        <v>188</v>
      </c>
      <c r="H10" s="38">
        <v>365</v>
      </c>
      <c r="I10" s="37">
        <f t="shared" si="2"/>
        <v>270647000</v>
      </c>
      <c r="J10" s="77">
        <f t="shared" si="3"/>
        <v>139401742</v>
      </c>
    </row>
    <row r="11" spans="1:19" ht="19.5" customHeight="1">
      <c r="B11" s="42">
        <v>42668</v>
      </c>
      <c r="C11" s="38" t="s">
        <v>4</v>
      </c>
      <c r="D11" s="43">
        <v>270647000</v>
      </c>
      <c r="E11" s="42">
        <f t="shared" si="0"/>
        <v>42668</v>
      </c>
      <c r="F11" s="42">
        <v>42825</v>
      </c>
      <c r="G11" s="38">
        <f t="shared" si="1"/>
        <v>158</v>
      </c>
      <c r="H11" s="38">
        <v>365</v>
      </c>
      <c r="I11" s="37">
        <f t="shared" si="2"/>
        <v>270647000</v>
      </c>
      <c r="J11" s="77">
        <f t="shared" si="3"/>
        <v>117156783</v>
      </c>
    </row>
    <row r="12" spans="1:19" ht="19.5" customHeight="1">
      <c r="B12" s="42">
        <v>42699</v>
      </c>
      <c r="C12" s="38" t="s">
        <v>4</v>
      </c>
      <c r="D12" s="43">
        <v>270647000</v>
      </c>
      <c r="E12" s="42">
        <f t="shared" si="0"/>
        <v>42699</v>
      </c>
      <c r="F12" s="42">
        <v>42825</v>
      </c>
      <c r="G12" s="38">
        <f t="shared" si="1"/>
        <v>127</v>
      </c>
      <c r="H12" s="38">
        <v>365</v>
      </c>
      <c r="I12" s="37">
        <f t="shared" si="2"/>
        <v>270647000</v>
      </c>
      <c r="J12" s="77">
        <f t="shared" si="3"/>
        <v>94170326</v>
      </c>
    </row>
    <row r="13" spans="1:19" ht="19.5" customHeight="1">
      <c r="B13" s="42">
        <v>42729</v>
      </c>
      <c r="C13" s="38" t="s">
        <v>4</v>
      </c>
      <c r="D13" s="43">
        <v>270647000</v>
      </c>
      <c r="E13" s="42">
        <f t="shared" si="0"/>
        <v>42729</v>
      </c>
      <c r="F13" s="42">
        <v>42825</v>
      </c>
      <c r="G13" s="38">
        <f t="shared" si="1"/>
        <v>97</v>
      </c>
      <c r="H13" s="38">
        <v>365</v>
      </c>
      <c r="I13" s="37">
        <f t="shared" si="2"/>
        <v>270647000</v>
      </c>
      <c r="J13" s="77">
        <f t="shared" si="3"/>
        <v>71925367</v>
      </c>
    </row>
    <row r="14" spans="1:19" ht="19.5" customHeight="1" thickBot="1">
      <c r="B14" s="42">
        <v>42760</v>
      </c>
      <c r="C14" s="38" t="s">
        <v>4</v>
      </c>
      <c r="D14" s="43">
        <v>270647000</v>
      </c>
      <c r="E14" s="42">
        <f t="shared" si="0"/>
        <v>42760</v>
      </c>
      <c r="F14" s="42">
        <v>42825</v>
      </c>
      <c r="G14" s="38">
        <f t="shared" si="1"/>
        <v>66</v>
      </c>
      <c r="H14" s="38">
        <v>365</v>
      </c>
      <c r="I14" s="37">
        <f t="shared" si="2"/>
        <v>270647000</v>
      </c>
      <c r="J14" s="77">
        <f t="shared" si="3"/>
        <v>48938909</v>
      </c>
    </row>
    <row r="15" spans="1:19" ht="19.5" customHeight="1" thickBot="1">
      <c r="B15" s="42">
        <v>42791</v>
      </c>
      <c r="C15" s="38" t="s">
        <v>4</v>
      </c>
      <c r="D15" s="43">
        <v>270647000</v>
      </c>
      <c r="E15" s="42">
        <f t="shared" si="0"/>
        <v>42791</v>
      </c>
      <c r="F15" s="42">
        <v>42825</v>
      </c>
      <c r="G15" s="38">
        <f t="shared" si="1"/>
        <v>35</v>
      </c>
      <c r="H15" s="38">
        <v>365</v>
      </c>
      <c r="I15" s="37">
        <f t="shared" si="2"/>
        <v>270647000</v>
      </c>
      <c r="J15" s="77">
        <f t="shared" si="3"/>
        <v>25952452</v>
      </c>
      <c r="K15" s="99" t="s">
        <v>15</v>
      </c>
      <c r="L15" s="100"/>
      <c r="M15" s="100"/>
      <c r="N15" s="101"/>
    </row>
    <row r="16" spans="1:19" ht="19.5" customHeight="1">
      <c r="B16" s="42">
        <v>42819</v>
      </c>
      <c r="C16" s="38" t="s">
        <v>4</v>
      </c>
      <c r="D16" s="43">
        <v>270647000</v>
      </c>
      <c r="E16" s="42">
        <f t="shared" si="0"/>
        <v>42819</v>
      </c>
      <c r="F16" s="42">
        <v>42825</v>
      </c>
      <c r="G16" s="38">
        <f t="shared" si="1"/>
        <v>7</v>
      </c>
      <c r="H16" s="38">
        <v>365</v>
      </c>
      <c r="I16" s="37">
        <f t="shared" si="2"/>
        <v>270647000</v>
      </c>
      <c r="J16" s="77">
        <f t="shared" si="3"/>
        <v>5190490</v>
      </c>
      <c r="K16" s="44" t="s">
        <v>11</v>
      </c>
      <c r="L16" s="45" t="s">
        <v>12</v>
      </c>
      <c r="M16" s="45" t="s">
        <v>13</v>
      </c>
      <c r="N16" s="46" t="s">
        <v>14</v>
      </c>
    </row>
    <row r="17" spans="1:17" ht="19.5" customHeight="1" thickBot="1">
      <c r="B17" s="42"/>
      <c r="D17" s="43">
        <f>SUM(D4:D16)</f>
        <v>50247764000</v>
      </c>
      <c r="E17" s="42"/>
      <c r="F17" s="42"/>
      <c r="J17" s="77">
        <f>SUM(J4:J16)</f>
        <v>48541575647</v>
      </c>
      <c r="K17" s="47">
        <f>ROUNDDOWN(J17*1.6/100,0)</f>
        <v>776665210</v>
      </c>
      <c r="L17" s="48">
        <f>ROUNDDOWN(K17*0.15315,0)</f>
        <v>118946276</v>
      </c>
      <c r="M17" s="41">
        <f>ROUNDDOWN(K17*0.05,0)</f>
        <v>38833260</v>
      </c>
      <c r="N17" s="49">
        <f>K17-L17-M17</f>
        <v>618885674</v>
      </c>
      <c r="P17" s="77"/>
      <c r="Q17" s="80"/>
    </row>
    <row r="18" spans="1:17" ht="19.5" customHeight="1">
      <c r="B18" s="42"/>
      <c r="D18" s="43"/>
      <c r="E18" s="42"/>
      <c r="F18" s="42"/>
      <c r="L18" s="38" t="s">
        <v>16</v>
      </c>
    </row>
    <row r="19" spans="1:17" ht="19.5" customHeight="1">
      <c r="A19" s="38" t="s">
        <v>29</v>
      </c>
      <c r="B19" s="42">
        <v>42826</v>
      </c>
      <c r="C19" s="38" t="s">
        <v>5</v>
      </c>
      <c r="D19" s="43">
        <f>D17+N17</f>
        <v>50866649674</v>
      </c>
      <c r="E19" s="42">
        <f t="shared" ref="E19:E31" si="4">B19</f>
        <v>42826</v>
      </c>
      <c r="F19" s="42">
        <v>43190</v>
      </c>
      <c r="G19" s="38">
        <f t="shared" ref="G19:G31" si="5">F19-B19+1</f>
        <v>365</v>
      </c>
      <c r="H19" s="38">
        <v>365</v>
      </c>
      <c r="I19" s="37">
        <f t="shared" ref="I19:I31" si="6">ROUNDDOWN(D19/100,0)*100</f>
        <v>50866649600</v>
      </c>
      <c r="J19" s="77">
        <f t="shared" ref="J19:J31" si="7">ROUNDDOWN(I19*G19/H19,0)</f>
        <v>50866649600</v>
      </c>
    </row>
    <row r="20" spans="1:17" ht="19.5" customHeight="1">
      <c r="B20" s="42">
        <v>42850</v>
      </c>
      <c r="C20" s="38" t="s">
        <v>4</v>
      </c>
      <c r="D20" s="43">
        <v>0</v>
      </c>
      <c r="E20" s="42">
        <f t="shared" si="4"/>
        <v>42850</v>
      </c>
      <c r="F20" s="42">
        <v>43190</v>
      </c>
      <c r="G20" s="38">
        <f t="shared" si="5"/>
        <v>341</v>
      </c>
      <c r="H20" s="38">
        <v>365</v>
      </c>
      <c r="I20" s="37">
        <f t="shared" si="6"/>
        <v>0</v>
      </c>
      <c r="J20" s="77">
        <f t="shared" si="7"/>
        <v>0</v>
      </c>
    </row>
    <row r="21" spans="1:17" ht="19.5" customHeight="1">
      <c r="B21" s="42">
        <v>42880</v>
      </c>
      <c r="C21" s="38" t="s">
        <v>4</v>
      </c>
      <c r="D21" s="43">
        <v>0</v>
      </c>
      <c r="E21" s="42">
        <f t="shared" si="4"/>
        <v>42880</v>
      </c>
      <c r="F21" s="42">
        <v>43190</v>
      </c>
      <c r="G21" s="38">
        <f t="shared" si="5"/>
        <v>311</v>
      </c>
      <c r="H21" s="38">
        <v>365</v>
      </c>
      <c r="I21" s="37">
        <f t="shared" si="6"/>
        <v>0</v>
      </c>
      <c r="J21" s="77">
        <f t="shared" si="7"/>
        <v>0</v>
      </c>
    </row>
    <row r="22" spans="1:17" ht="19.5" customHeight="1">
      <c r="B22" s="42">
        <v>42911</v>
      </c>
      <c r="C22" s="38" t="s">
        <v>4</v>
      </c>
      <c r="D22" s="43">
        <v>0</v>
      </c>
      <c r="E22" s="42">
        <f t="shared" si="4"/>
        <v>42911</v>
      </c>
      <c r="F22" s="42">
        <v>43190</v>
      </c>
      <c r="G22" s="38">
        <f t="shared" si="5"/>
        <v>280</v>
      </c>
      <c r="H22" s="38">
        <v>365</v>
      </c>
      <c r="I22" s="37">
        <f t="shared" si="6"/>
        <v>0</v>
      </c>
      <c r="J22" s="77">
        <f t="shared" si="7"/>
        <v>0</v>
      </c>
    </row>
    <row r="23" spans="1:17" ht="19.5" customHeight="1">
      <c r="B23" s="42">
        <v>42941</v>
      </c>
      <c r="C23" s="38" t="s">
        <v>4</v>
      </c>
      <c r="D23" s="43">
        <v>0</v>
      </c>
      <c r="E23" s="42">
        <f t="shared" si="4"/>
        <v>42941</v>
      </c>
      <c r="F23" s="42">
        <v>43190</v>
      </c>
      <c r="G23" s="38">
        <f t="shared" si="5"/>
        <v>250</v>
      </c>
      <c r="H23" s="38">
        <v>365</v>
      </c>
      <c r="I23" s="37">
        <f t="shared" si="6"/>
        <v>0</v>
      </c>
      <c r="J23" s="77">
        <f t="shared" si="7"/>
        <v>0</v>
      </c>
    </row>
    <row r="24" spans="1:17" ht="19.5" customHeight="1">
      <c r="B24" s="42">
        <v>42972</v>
      </c>
      <c r="C24" s="38" t="s">
        <v>4</v>
      </c>
      <c r="D24" s="43">
        <v>0</v>
      </c>
      <c r="E24" s="42">
        <f t="shared" si="4"/>
        <v>42972</v>
      </c>
      <c r="F24" s="42">
        <v>43190</v>
      </c>
      <c r="G24" s="38">
        <f t="shared" si="5"/>
        <v>219</v>
      </c>
      <c r="H24" s="38">
        <v>365</v>
      </c>
      <c r="I24" s="37">
        <f t="shared" si="6"/>
        <v>0</v>
      </c>
      <c r="J24" s="77">
        <f t="shared" si="7"/>
        <v>0</v>
      </c>
    </row>
    <row r="25" spans="1:17" ht="19.5" customHeight="1">
      <c r="B25" s="42">
        <v>43003</v>
      </c>
      <c r="C25" s="38" t="s">
        <v>4</v>
      </c>
      <c r="D25" s="43">
        <v>0</v>
      </c>
      <c r="E25" s="42">
        <f t="shared" si="4"/>
        <v>43003</v>
      </c>
      <c r="F25" s="42">
        <v>43190</v>
      </c>
      <c r="G25" s="38">
        <f t="shared" si="5"/>
        <v>188</v>
      </c>
      <c r="H25" s="38">
        <v>365</v>
      </c>
      <c r="I25" s="37">
        <f t="shared" si="6"/>
        <v>0</v>
      </c>
      <c r="J25" s="77">
        <f t="shared" si="7"/>
        <v>0</v>
      </c>
    </row>
    <row r="26" spans="1:17" ht="19.5" customHeight="1">
      <c r="B26" s="42">
        <v>43033</v>
      </c>
      <c r="C26" s="38" t="s">
        <v>4</v>
      </c>
      <c r="D26" s="43">
        <v>0</v>
      </c>
      <c r="E26" s="42">
        <f t="shared" si="4"/>
        <v>43033</v>
      </c>
      <c r="F26" s="42">
        <v>43190</v>
      </c>
      <c r="G26" s="38">
        <f t="shared" si="5"/>
        <v>158</v>
      </c>
      <c r="H26" s="38">
        <v>365</v>
      </c>
      <c r="I26" s="37">
        <f t="shared" si="6"/>
        <v>0</v>
      </c>
      <c r="J26" s="77">
        <f t="shared" si="7"/>
        <v>0</v>
      </c>
    </row>
    <row r="27" spans="1:17" ht="19.5" customHeight="1">
      <c r="B27" s="42">
        <v>43064</v>
      </c>
      <c r="C27" s="38" t="s">
        <v>4</v>
      </c>
      <c r="D27" s="43">
        <v>0</v>
      </c>
      <c r="E27" s="42">
        <f t="shared" si="4"/>
        <v>43064</v>
      </c>
      <c r="F27" s="42">
        <v>43190</v>
      </c>
      <c r="G27" s="38">
        <f t="shared" si="5"/>
        <v>127</v>
      </c>
      <c r="H27" s="38">
        <v>365</v>
      </c>
      <c r="I27" s="37">
        <f t="shared" si="6"/>
        <v>0</v>
      </c>
      <c r="J27" s="77">
        <f t="shared" si="7"/>
        <v>0</v>
      </c>
    </row>
    <row r="28" spans="1:17" ht="19.5" customHeight="1">
      <c r="B28" s="42">
        <v>43094</v>
      </c>
      <c r="C28" s="38" t="s">
        <v>4</v>
      </c>
      <c r="D28" s="43">
        <v>0</v>
      </c>
      <c r="E28" s="42">
        <f t="shared" si="4"/>
        <v>43094</v>
      </c>
      <c r="F28" s="42">
        <v>43190</v>
      </c>
      <c r="G28" s="38">
        <f t="shared" si="5"/>
        <v>97</v>
      </c>
      <c r="H28" s="38">
        <v>365</v>
      </c>
      <c r="I28" s="37">
        <f t="shared" si="6"/>
        <v>0</v>
      </c>
      <c r="J28" s="77">
        <f t="shared" si="7"/>
        <v>0</v>
      </c>
    </row>
    <row r="29" spans="1:17" ht="19.5" customHeight="1" thickBot="1">
      <c r="B29" s="42">
        <v>43125</v>
      </c>
      <c r="C29" s="38" t="s">
        <v>4</v>
      </c>
      <c r="D29" s="43">
        <v>0</v>
      </c>
      <c r="E29" s="42">
        <f t="shared" si="4"/>
        <v>43125</v>
      </c>
      <c r="F29" s="42">
        <v>43190</v>
      </c>
      <c r="G29" s="38">
        <f t="shared" si="5"/>
        <v>66</v>
      </c>
      <c r="H29" s="38">
        <v>365</v>
      </c>
      <c r="I29" s="37">
        <f t="shared" si="6"/>
        <v>0</v>
      </c>
      <c r="J29" s="77">
        <f t="shared" si="7"/>
        <v>0</v>
      </c>
    </row>
    <row r="30" spans="1:17" ht="19.5" customHeight="1" thickBot="1">
      <c r="B30" s="42">
        <v>43156</v>
      </c>
      <c r="C30" s="38" t="s">
        <v>4</v>
      </c>
      <c r="D30" s="43">
        <v>0</v>
      </c>
      <c r="E30" s="42">
        <f t="shared" si="4"/>
        <v>43156</v>
      </c>
      <c r="F30" s="42">
        <v>43190</v>
      </c>
      <c r="G30" s="38">
        <f t="shared" si="5"/>
        <v>35</v>
      </c>
      <c r="H30" s="38">
        <v>365</v>
      </c>
      <c r="I30" s="37">
        <f t="shared" si="6"/>
        <v>0</v>
      </c>
      <c r="J30" s="77">
        <f t="shared" si="7"/>
        <v>0</v>
      </c>
      <c r="K30" s="99" t="s">
        <v>15</v>
      </c>
      <c r="L30" s="100"/>
      <c r="M30" s="100"/>
      <c r="N30" s="101"/>
    </row>
    <row r="31" spans="1:17" ht="19.5" customHeight="1">
      <c r="B31" s="42">
        <v>43184</v>
      </c>
      <c r="C31" s="38" t="s">
        <v>4</v>
      </c>
      <c r="D31" s="43">
        <v>0</v>
      </c>
      <c r="E31" s="42">
        <f t="shared" si="4"/>
        <v>43184</v>
      </c>
      <c r="F31" s="42">
        <v>43190</v>
      </c>
      <c r="G31" s="38">
        <f t="shared" si="5"/>
        <v>7</v>
      </c>
      <c r="H31" s="38">
        <v>365</v>
      </c>
      <c r="I31" s="37">
        <f t="shared" si="6"/>
        <v>0</v>
      </c>
      <c r="J31" s="77">
        <f t="shared" si="7"/>
        <v>0</v>
      </c>
      <c r="K31" s="44" t="s">
        <v>11</v>
      </c>
      <c r="L31" s="45" t="s">
        <v>12</v>
      </c>
      <c r="M31" s="45" t="s">
        <v>13</v>
      </c>
      <c r="N31" s="46" t="s">
        <v>14</v>
      </c>
      <c r="Q31" s="77"/>
    </row>
    <row r="32" spans="1:17" ht="19.5" customHeight="1" thickBot="1">
      <c r="D32" s="43">
        <f>SUM(D19:D31)</f>
        <v>50866649674</v>
      </c>
      <c r="J32" s="77">
        <f>SUM(J19:J31)</f>
        <v>50866649600</v>
      </c>
      <c r="K32" s="47">
        <f>ROUNDDOWN(J32*1.6/100,0)</f>
        <v>813866393</v>
      </c>
      <c r="L32" s="48">
        <f>ROUNDDOWN(K32*0.15315,0)</f>
        <v>124643638</v>
      </c>
      <c r="M32" s="41">
        <f>ROUNDDOWN(K32*0.05,0)</f>
        <v>40693319</v>
      </c>
      <c r="N32" s="49">
        <f>K32-L32-M32</f>
        <v>648529436</v>
      </c>
    </row>
    <row r="33" spans="1:14" ht="19.5" customHeight="1">
      <c r="D33" s="43"/>
      <c r="L33" s="38" t="s">
        <v>16</v>
      </c>
    </row>
    <row r="34" spans="1:14" ht="19.5" customHeight="1">
      <c r="A34" s="38" t="s">
        <v>30</v>
      </c>
      <c r="B34" s="42">
        <v>43191</v>
      </c>
      <c r="C34" s="38" t="s">
        <v>5</v>
      </c>
      <c r="D34" s="43">
        <f>D32+N32</f>
        <v>51515179110</v>
      </c>
      <c r="E34" s="42">
        <f t="shared" ref="E34:E46" si="8">B34</f>
        <v>43191</v>
      </c>
      <c r="F34" s="42">
        <v>43555</v>
      </c>
      <c r="G34" s="38">
        <f t="shared" ref="G34:G46" si="9">F34-B34+1</f>
        <v>365</v>
      </c>
      <c r="H34" s="38">
        <v>365</v>
      </c>
      <c r="I34" s="37">
        <f t="shared" ref="I34:I46" si="10">ROUNDDOWN(D34/100,0)*100</f>
        <v>51515179100</v>
      </c>
      <c r="J34" s="77">
        <f t="shared" ref="J34:J46" si="11">ROUNDDOWN(I34*G34/H34,0)</f>
        <v>51515179100</v>
      </c>
    </row>
    <row r="35" spans="1:14" ht="19.5" customHeight="1">
      <c r="B35" s="42">
        <v>43215</v>
      </c>
      <c r="C35" s="38" t="s">
        <v>4</v>
      </c>
      <c r="D35" s="43">
        <v>0</v>
      </c>
      <c r="E35" s="42">
        <f t="shared" si="8"/>
        <v>43215</v>
      </c>
      <c r="F35" s="42">
        <v>43555</v>
      </c>
      <c r="G35" s="38">
        <f t="shared" si="9"/>
        <v>341</v>
      </c>
      <c r="H35" s="38">
        <v>365</v>
      </c>
      <c r="I35" s="37">
        <f t="shared" si="10"/>
        <v>0</v>
      </c>
      <c r="J35" s="77">
        <f t="shared" si="11"/>
        <v>0</v>
      </c>
    </row>
    <row r="36" spans="1:14" ht="19.5" customHeight="1">
      <c r="B36" s="42">
        <v>43245</v>
      </c>
      <c r="C36" s="38" t="s">
        <v>4</v>
      </c>
      <c r="D36" s="43">
        <v>0</v>
      </c>
      <c r="E36" s="42">
        <f t="shared" si="8"/>
        <v>43245</v>
      </c>
      <c r="F36" s="42">
        <v>43555</v>
      </c>
      <c r="G36" s="38">
        <f t="shared" si="9"/>
        <v>311</v>
      </c>
      <c r="H36" s="38">
        <v>365</v>
      </c>
      <c r="I36" s="37">
        <f t="shared" si="10"/>
        <v>0</v>
      </c>
      <c r="J36" s="77">
        <f t="shared" si="11"/>
        <v>0</v>
      </c>
    </row>
    <row r="37" spans="1:14" ht="19.5" customHeight="1">
      <c r="B37" s="42">
        <v>43276</v>
      </c>
      <c r="C37" s="38" t="s">
        <v>4</v>
      </c>
      <c r="D37" s="43">
        <v>0</v>
      </c>
      <c r="E37" s="42">
        <f t="shared" si="8"/>
        <v>43276</v>
      </c>
      <c r="F37" s="42">
        <v>43555</v>
      </c>
      <c r="G37" s="38">
        <f t="shared" si="9"/>
        <v>280</v>
      </c>
      <c r="H37" s="38">
        <v>365</v>
      </c>
      <c r="I37" s="37">
        <f t="shared" si="10"/>
        <v>0</v>
      </c>
      <c r="J37" s="77">
        <f t="shared" si="11"/>
        <v>0</v>
      </c>
    </row>
    <row r="38" spans="1:14" ht="19.5" customHeight="1">
      <c r="B38" s="42">
        <v>43306</v>
      </c>
      <c r="C38" s="38" t="s">
        <v>4</v>
      </c>
      <c r="D38" s="43">
        <v>0</v>
      </c>
      <c r="E38" s="42">
        <f t="shared" si="8"/>
        <v>43306</v>
      </c>
      <c r="F38" s="42">
        <v>43555</v>
      </c>
      <c r="G38" s="38">
        <f t="shared" si="9"/>
        <v>250</v>
      </c>
      <c r="H38" s="38">
        <v>365</v>
      </c>
      <c r="I38" s="37">
        <f t="shared" si="10"/>
        <v>0</v>
      </c>
      <c r="J38" s="77">
        <f t="shared" si="11"/>
        <v>0</v>
      </c>
    </row>
    <row r="39" spans="1:14" ht="19.5" customHeight="1">
      <c r="B39" s="42">
        <v>43337</v>
      </c>
      <c r="C39" s="38" t="s">
        <v>4</v>
      </c>
      <c r="D39" s="43">
        <v>0</v>
      </c>
      <c r="E39" s="42">
        <f t="shared" si="8"/>
        <v>43337</v>
      </c>
      <c r="F39" s="42">
        <v>43555</v>
      </c>
      <c r="G39" s="38">
        <f t="shared" si="9"/>
        <v>219</v>
      </c>
      <c r="H39" s="38">
        <v>365</v>
      </c>
      <c r="I39" s="37">
        <f t="shared" si="10"/>
        <v>0</v>
      </c>
      <c r="J39" s="77">
        <f t="shared" si="11"/>
        <v>0</v>
      </c>
    </row>
    <row r="40" spans="1:14" ht="19.5" customHeight="1">
      <c r="B40" s="42">
        <v>43368</v>
      </c>
      <c r="C40" s="38" t="s">
        <v>4</v>
      </c>
      <c r="D40" s="43">
        <v>0</v>
      </c>
      <c r="E40" s="42">
        <f t="shared" si="8"/>
        <v>43368</v>
      </c>
      <c r="F40" s="42">
        <v>43555</v>
      </c>
      <c r="G40" s="38">
        <f t="shared" si="9"/>
        <v>188</v>
      </c>
      <c r="H40" s="38">
        <v>365</v>
      </c>
      <c r="I40" s="37">
        <f t="shared" si="10"/>
        <v>0</v>
      </c>
      <c r="J40" s="77">
        <f t="shared" si="11"/>
        <v>0</v>
      </c>
    </row>
    <row r="41" spans="1:14" ht="19.5" customHeight="1">
      <c r="B41" s="42">
        <v>43398</v>
      </c>
      <c r="C41" s="38" t="s">
        <v>4</v>
      </c>
      <c r="D41" s="43">
        <v>0</v>
      </c>
      <c r="E41" s="42">
        <f t="shared" si="8"/>
        <v>43398</v>
      </c>
      <c r="F41" s="42">
        <v>43555</v>
      </c>
      <c r="G41" s="38">
        <f t="shared" si="9"/>
        <v>158</v>
      </c>
      <c r="H41" s="38">
        <v>365</v>
      </c>
      <c r="I41" s="37">
        <f t="shared" si="10"/>
        <v>0</v>
      </c>
      <c r="J41" s="77">
        <f t="shared" si="11"/>
        <v>0</v>
      </c>
    </row>
    <row r="42" spans="1:14" ht="19.5" customHeight="1">
      <c r="B42" s="42">
        <v>43429</v>
      </c>
      <c r="C42" s="38" t="s">
        <v>4</v>
      </c>
      <c r="D42" s="43">
        <v>0</v>
      </c>
      <c r="E42" s="42">
        <f t="shared" si="8"/>
        <v>43429</v>
      </c>
      <c r="F42" s="42">
        <v>43555</v>
      </c>
      <c r="G42" s="38">
        <f t="shared" si="9"/>
        <v>127</v>
      </c>
      <c r="H42" s="38">
        <v>365</v>
      </c>
      <c r="I42" s="37">
        <f t="shared" si="10"/>
        <v>0</v>
      </c>
      <c r="J42" s="77">
        <f t="shared" si="11"/>
        <v>0</v>
      </c>
    </row>
    <row r="43" spans="1:14" ht="19.5" customHeight="1">
      <c r="B43" s="42">
        <v>43459</v>
      </c>
      <c r="C43" s="38" t="s">
        <v>4</v>
      </c>
      <c r="D43" s="43">
        <v>0</v>
      </c>
      <c r="E43" s="42">
        <f t="shared" si="8"/>
        <v>43459</v>
      </c>
      <c r="F43" s="42">
        <v>43555</v>
      </c>
      <c r="G43" s="38">
        <f t="shared" si="9"/>
        <v>97</v>
      </c>
      <c r="H43" s="38">
        <v>365</v>
      </c>
      <c r="I43" s="37">
        <f t="shared" si="10"/>
        <v>0</v>
      </c>
      <c r="J43" s="77">
        <f t="shared" si="11"/>
        <v>0</v>
      </c>
    </row>
    <row r="44" spans="1:14" ht="19.5" customHeight="1" thickBot="1">
      <c r="B44" s="42">
        <v>43490</v>
      </c>
      <c r="C44" s="38" t="s">
        <v>4</v>
      </c>
      <c r="D44" s="43">
        <v>0</v>
      </c>
      <c r="E44" s="42">
        <f t="shared" si="8"/>
        <v>43490</v>
      </c>
      <c r="F44" s="42">
        <v>43555</v>
      </c>
      <c r="G44" s="38">
        <f t="shared" si="9"/>
        <v>66</v>
      </c>
      <c r="H44" s="38">
        <v>365</v>
      </c>
      <c r="I44" s="37">
        <f t="shared" si="10"/>
        <v>0</v>
      </c>
      <c r="J44" s="77">
        <f t="shared" si="11"/>
        <v>0</v>
      </c>
    </row>
    <row r="45" spans="1:14" ht="19.5" customHeight="1" thickBot="1">
      <c r="B45" s="42">
        <v>43521</v>
      </c>
      <c r="C45" s="38" t="s">
        <v>4</v>
      </c>
      <c r="D45" s="43">
        <v>0</v>
      </c>
      <c r="E45" s="42">
        <f t="shared" si="8"/>
        <v>43521</v>
      </c>
      <c r="F45" s="42">
        <v>43555</v>
      </c>
      <c r="G45" s="38">
        <f t="shared" si="9"/>
        <v>35</v>
      </c>
      <c r="H45" s="38">
        <v>365</v>
      </c>
      <c r="I45" s="37">
        <f t="shared" si="10"/>
        <v>0</v>
      </c>
      <c r="J45" s="77">
        <f t="shared" si="11"/>
        <v>0</v>
      </c>
      <c r="K45" s="99" t="s">
        <v>15</v>
      </c>
      <c r="L45" s="100"/>
      <c r="M45" s="100"/>
      <c r="N45" s="101"/>
    </row>
    <row r="46" spans="1:14" ht="19.5" customHeight="1">
      <c r="B46" s="42">
        <v>43549</v>
      </c>
      <c r="C46" s="38" t="s">
        <v>4</v>
      </c>
      <c r="D46" s="43">
        <v>0</v>
      </c>
      <c r="E46" s="42">
        <f t="shared" si="8"/>
        <v>43549</v>
      </c>
      <c r="F46" s="42">
        <v>43555</v>
      </c>
      <c r="G46" s="38">
        <f t="shared" si="9"/>
        <v>7</v>
      </c>
      <c r="H46" s="38">
        <v>365</v>
      </c>
      <c r="I46" s="37">
        <f t="shared" si="10"/>
        <v>0</v>
      </c>
      <c r="J46" s="77">
        <f t="shared" si="11"/>
        <v>0</v>
      </c>
      <c r="K46" s="44" t="s">
        <v>11</v>
      </c>
      <c r="L46" s="45" t="s">
        <v>12</v>
      </c>
      <c r="M46" s="45" t="s">
        <v>13</v>
      </c>
      <c r="N46" s="46" t="s">
        <v>14</v>
      </c>
    </row>
    <row r="47" spans="1:14" ht="19.5" customHeight="1" thickBot="1">
      <c r="D47" s="43">
        <f>SUM(D34:D46)</f>
        <v>51515179110</v>
      </c>
      <c r="J47" s="77">
        <f>SUM(J34:J46)</f>
        <v>51515179100</v>
      </c>
      <c r="K47" s="47">
        <f>ROUNDDOWN(J47*1.6/100,0)</f>
        <v>824242865</v>
      </c>
      <c r="L47" s="48">
        <f>ROUNDDOWN(K47*0.15315,0)</f>
        <v>126232794</v>
      </c>
      <c r="M47" s="41">
        <f>ROUNDDOWN(K47*0.05,0)</f>
        <v>41212143</v>
      </c>
      <c r="N47" s="49">
        <f>K47-L47-M47</f>
        <v>656797928</v>
      </c>
    </row>
    <row r="48" spans="1:14" ht="19.5" customHeight="1">
      <c r="A48" s="38" t="s">
        <v>31</v>
      </c>
      <c r="B48" s="42">
        <v>43556</v>
      </c>
      <c r="C48" s="38" t="s">
        <v>5</v>
      </c>
      <c r="D48" s="43">
        <f>D32+N32</f>
        <v>51515179110</v>
      </c>
      <c r="E48" s="42">
        <f t="shared" ref="E48:E60" si="12">B48</f>
        <v>43556</v>
      </c>
      <c r="F48" s="42">
        <v>43921</v>
      </c>
      <c r="G48" s="38">
        <f t="shared" ref="G48:G60" si="13">F48-B48+1</f>
        <v>366</v>
      </c>
      <c r="H48" s="50">
        <v>366</v>
      </c>
      <c r="I48" s="37">
        <f t="shared" ref="I48:I60" si="14">ROUNDDOWN(D48/100,0)*100</f>
        <v>51515179100</v>
      </c>
      <c r="J48" s="77">
        <f t="shared" ref="J48:J60" si="15">ROUNDDOWN(I48*G48/H48,0)</f>
        <v>51515179100</v>
      </c>
      <c r="L48" s="38" t="s">
        <v>16</v>
      </c>
    </row>
    <row r="49" spans="1:14" ht="19.5" customHeight="1">
      <c r="B49" s="42">
        <v>43580</v>
      </c>
      <c r="C49" s="38" t="s">
        <v>4</v>
      </c>
      <c r="D49" s="43"/>
      <c r="E49" s="42">
        <f t="shared" si="12"/>
        <v>43580</v>
      </c>
      <c r="F49" s="42">
        <v>43921</v>
      </c>
      <c r="G49" s="38">
        <f t="shared" si="13"/>
        <v>342</v>
      </c>
      <c r="H49" s="50">
        <v>366</v>
      </c>
      <c r="I49" s="37">
        <f t="shared" si="14"/>
        <v>0</v>
      </c>
      <c r="J49" s="77">
        <f t="shared" si="15"/>
        <v>0</v>
      </c>
    </row>
    <row r="50" spans="1:14" ht="19.5" customHeight="1">
      <c r="B50" s="42">
        <v>43610</v>
      </c>
      <c r="C50" s="38" t="s">
        <v>4</v>
      </c>
      <c r="D50" s="43"/>
      <c r="E50" s="42">
        <f t="shared" si="12"/>
        <v>43610</v>
      </c>
      <c r="F50" s="42">
        <v>43921</v>
      </c>
      <c r="G50" s="38">
        <f t="shared" si="13"/>
        <v>312</v>
      </c>
      <c r="H50" s="50">
        <v>366</v>
      </c>
      <c r="I50" s="37">
        <f t="shared" si="14"/>
        <v>0</v>
      </c>
      <c r="J50" s="77">
        <f t="shared" si="15"/>
        <v>0</v>
      </c>
      <c r="K50" s="102" t="s">
        <v>32</v>
      </c>
      <c r="L50" s="102"/>
      <c r="M50" s="102"/>
      <c r="N50" s="102"/>
    </row>
    <row r="51" spans="1:14" ht="19.5" customHeight="1">
      <c r="B51" s="42">
        <v>43641</v>
      </c>
      <c r="C51" s="38" t="s">
        <v>4</v>
      </c>
      <c r="D51" s="43"/>
      <c r="E51" s="42">
        <f t="shared" si="12"/>
        <v>43641</v>
      </c>
      <c r="F51" s="42">
        <v>43921</v>
      </c>
      <c r="G51" s="38">
        <f t="shared" si="13"/>
        <v>281</v>
      </c>
      <c r="H51" s="50">
        <v>366</v>
      </c>
      <c r="I51" s="37">
        <f t="shared" si="14"/>
        <v>0</v>
      </c>
      <c r="J51" s="77">
        <f t="shared" si="15"/>
        <v>0</v>
      </c>
    </row>
    <row r="52" spans="1:14" ht="19.5" customHeight="1">
      <c r="B52" s="42">
        <v>43671</v>
      </c>
      <c r="C52" s="38" t="s">
        <v>4</v>
      </c>
      <c r="D52" s="43"/>
      <c r="E52" s="42">
        <f t="shared" si="12"/>
        <v>43671</v>
      </c>
      <c r="F52" s="42">
        <v>43921</v>
      </c>
      <c r="G52" s="38">
        <f t="shared" si="13"/>
        <v>251</v>
      </c>
      <c r="H52" s="50">
        <v>366</v>
      </c>
      <c r="I52" s="37">
        <f t="shared" si="14"/>
        <v>0</v>
      </c>
      <c r="J52" s="77">
        <f t="shared" si="15"/>
        <v>0</v>
      </c>
    </row>
    <row r="53" spans="1:14" ht="19.5" customHeight="1">
      <c r="B53" s="42">
        <v>43702</v>
      </c>
      <c r="C53" s="38" t="s">
        <v>4</v>
      </c>
      <c r="D53" s="43"/>
      <c r="E53" s="42">
        <f t="shared" si="12"/>
        <v>43702</v>
      </c>
      <c r="F53" s="42">
        <v>43921</v>
      </c>
      <c r="G53" s="38">
        <f t="shared" si="13"/>
        <v>220</v>
      </c>
      <c r="H53" s="50">
        <v>366</v>
      </c>
      <c r="I53" s="37">
        <f t="shared" si="14"/>
        <v>0</v>
      </c>
      <c r="J53" s="77">
        <f t="shared" si="15"/>
        <v>0</v>
      </c>
    </row>
    <row r="54" spans="1:14" ht="19.5" customHeight="1">
      <c r="B54" s="42">
        <v>43733</v>
      </c>
      <c r="C54" s="38" t="s">
        <v>4</v>
      </c>
      <c r="D54" s="43"/>
      <c r="E54" s="42">
        <f t="shared" si="12"/>
        <v>43733</v>
      </c>
      <c r="F54" s="42">
        <v>43921</v>
      </c>
      <c r="G54" s="38">
        <f t="shared" si="13"/>
        <v>189</v>
      </c>
      <c r="H54" s="50">
        <v>366</v>
      </c>
      <c r="I54" s="37">
        <f t="shared" si="14"/>
        <v>0</v>
      </c>
      <c r="J54" s="77">
        <f t="shared" si="15"/>
        <v>0</v>
      </c>
    </row>
    <row r="55" spans="1:14" ht="19.5" customHeight="1">
      <c r="B55" s="42">
        <v>43763</v>
      </c>
      <c r="C55" s="38" t="s">
        <v>4</v>
      </c>
      <c r="D55" s="43"/>
      <c r="E55" s="42">
        <f t="shared" si="12"/>
        <v>43763</v>
      </c>
      <c r="F55" s="42">
        <v>43921</v>
      </c>
      <c r="G55" s="38">
        <f t="shared" si="13"/>
        <v>159</v>
      </c>
      <c r="H55" s="50">
        <v>366</v>
      </c>
      <c r="I55" s="37">
        <f t="shared" si="14"/>
        <v>0</v>
      </c>
      <c r="J55" s="77">
        <f t="shared" si="15"/>
        <v>0</v>
      </c>
    </row>
    <row r="56" spans="1:14" ht="19.5" customHeight="1">
      <c r="B56" s="42">
        <v>43794</v>
      </c>
      <c r="C56" s="38" t="s">
        <v>4</v>
      </c>
      <c r="D56" s="43"/>
      <c r="E56" s="42">
        <f t="shared" si="12"/>
        <v>43794</v>
      </c>
      <c r="F56" s="42">
        <v>43921</v>
      </c>
      <c r="G56" s="38">
        <f t="shared" si="13"/>
        <v>128</v>
      </c>
      <c r="H56" s="50">
        <v>366</v>
      </c>
      <c r="I56" s="37">
        <f t="shared" si="14"/>
        <v>0</v>
      </c>
      <c r="J56" s="77">
        <f t="shared" si="15"/>
        <v>0</v>
      </c>
    </row>
    <row r="57" spans="1:14" ht="19.5" customHeight="1">
      <c r="B57" s="42">
        <v>43824</v>
      </c>
      <c r="C57" s="38" t="s">
        <v>4</v>
      </c>
      <c r="D57" s="43"/>
      <c r="E57" s="42">
        <f t="shared" si="12"/>
        <v>43824</v>
      </c>
      <c r="F57" s="42">
        <v>43921</v>
      </c>
      <c r="G57" s="38">
        <f t="shared" si="13"/>
        <v>98</v>
      </c>
      <c r="H57" s="50">
        <v>366</v>
      </c>
      <c r="I57" s="37">
        <f t="shared" si="14"/>
        <v>0</v>
      </c>
      <c r="J57" s="77">
        <f t="shared" si="15"/>
        <v>0</v>
      </c>
    </row>
    <row r="58" spans="1:14" ht="19.5" customHeight="1" thickBot="1">
      <c r="B58" s="42">
        <v>43855</v>
      </c>
      <c r="C58" s="38" t="s">
        <v>4</v>
      </c>
      <c r="D58" s="43"/>
      <c r="E58" s="42">
        <f t="shared" si="12"/>
        <v>43855</v>
      </c>
      <c r="F58" s="42">
        <v>43921</v>
      </c>
      <c r="G58" s="38">
        <f t="shared" si="13"/>
        <v>67</v>
      </c>
      <c r="H58" s="50">
        <v>366</v>
      </c>
      <c r="I58" s="37">
        <f t="shared" si="14"/>
        <v>0</v>
      </c>
      <c r="J58" s="77">
        <f t="shared" si="15"/>
        <v>0</v>
      </c>
    </row>
    <row r="59" spans="1:14" ht="19.5" customHeight="1" thickBot="1">
      <c r="B59" s="42">
        <v>43886</v>
      </c>
      <c r="C59" s="38" t="s">
        <v>4</v>
      </c>
      <c r="D59" s="43"/>
      <c r="E59" s="42">
        <f t="shared" si="12"/>
        <v>43886</v>
      </c>
      <c r="F59" s="42">
        <v>43921</v>
      </c>
      <c r="G59" s="50">
        <f t="shared" si="13"/>
        <v>36</v>
      </c>
      <c r="H59" s="50">
        <v>366</v>
      </c>
      <c r="I59" s="37">
        <f t="shared" si="14"/>
        <v>0</v>
      </c>
      <c r="J59" s="77">
        <f t="shared" si="15"/>
        <v>0</v>
      </c>
      <c r="K59" s="99" t="s">
        <v>15</v>
      </c>
      <c r="L59" s="100"/>
      <c r="M59" s="100"/>
      <c r="N59" s="101"/>
    </row>
    <row r="60" spans="1:14" ht="19.5" customHeight="1">
      <c r="B60" s="42">
        <v>43915</v>
      </c>
      <c r="C60" s="38" t="s">
        <v>4</v>
      </c>
      <c r="D60" s="43"/>
      <c r="E60" s="42">
        <f t="shared" si="12"/>
        <v>43915</v>
      </c>
      <c r="F60" s="42">
        <v>43921</v>
      </c>
      <c r="G60" s="38">
        <f t="shared" si="13"/>
        <v>7</v>
      </c>
      <c r="H60" s="50">
        <v>366</v>
      </c>
      <c r="I60" s="37">
        <f t="shared" si="14"/>
        <v>0</v>
      </c>
      <c r="J60" s="77">
        <f t="shared" si="15"/>
        <v>0</v>
      </c>
      <c r="K60" s="44" t="s">
        <v>11</v>
      </c>
      <c r="L60" s="45" t="s">
        <v>12</v>
      </c>
      <c r="M60" s="45" t="s">
        <v>13</v>
      </c>
      <c r="N60" s="46" t="s">
        <v>14</v>
      </c>
    </row>
    <row r="61" spans="1:14" ht="19.5" customHeight="1" thickBot="1">
      <c r="D61" s="43">
        <f>SUM(D48:D60)</f>
        <v>51515179110</v>
      </c>
      <c r="J61" s="77">
        <f>SUM(J48:J60)</f>
        <v>51515179100</v>
      </c>
      <c r="K61" s="47">
        <f>ROUNDDOWN(J61*1.6/100,0)</f>
        <v>824242865</v>
      </c>
      <c r="L61" s="48">
        <f>ROUNDDOWN(K61*0.15315,0)</f>
        <v>126232794</v>
      </c>
      <c r="M61" s="41">
        <f>ROUNDDOWN(K61*0.05,0)</f>
        <v>41212143</v>
      </c>
      <c r="N61" s="49">
        <f>K61-L61-M61</f>
        <v>656797928</v>
      </c>
    </row>
    <row r="62" spans="1:14" ht="19.5" customHeight="1">
      <c r="A62" s="38" t="s">
        <v>33</v>
      </c>
      <c r="B62" s="42">
        <v>43922</v>
      </c>
      <c r="C62" s="38" t="s">
        <v>5</v>
      </c>
      <c r="D62" s="43">
        <f>D61+N61</f>
        <v>52171977038</v>
      </c>
      <c r="E62" s="42">
        <f t="shared" ref="E62:E74" si="16">B62</f>
        <v>43922</v>
      </c>
      <c r="F62" s="42">
        <v>44286</v>
      </c>
      <c r="G62" s="38">
        <f t="shared" ref="G62:G74" si="17">F62-B62+1</f>
        <v>365</v>
      </c>
      <c r="H62" s="38">
        <v>365</v>
      </c>
      <c r="I62" s="37">
        <f t="shared" ref="I62:I74" si="18">ROUNDDOWN(D62/100,0)*100</f>
        <v>52171977000</v>
      </c>
      <c r="J62" s="77">
        <f t="shared" ref="J62:J74" si="19">ROUNDDOWN(I62*G62/H62,0)</f>
        <v>52171977000</v>
      </c>
      <c r="L62" s="38" t="s">
        <v>16</v>
      </c>
    </row>
    <row r="63" spans="1:14" ht="19.5" customHeight="1">
      <c r="B63" s="42">
        <v>43946</v>
      </c>
      <c r="C63" s="38" t="s">
        <v>4</v>
      </c>
      <c r="D63" s="43">
        <v>0</v>
      </c>
      <c r="E63" s="42">
        <f t="shared" si="16"/>
        <v>43946</v>
      </c>
      <c r="F63" s="42">
        <v>44286</v>
      </c>
      <c r="G63" s="38">
        <f t="shared" si="17"/>
        <v>341</v>
      </c>
      <c r="H63" s="38">
        <v>365</v>
      </c>
      <c r="I63" s="37">
        <f t="shared" si="18"/>
        <v>0</v>
      </c>
      <c r="J63" s="77">
        <f t="shared" si="19"/>
        <v>0</v>
      </c>
    </row>
    <row r="64" spans="1:14" ht="19.5" customHeight="1">
      <c r="B64" s="42">
        <v>43976</v>
      </c>
      <c r="C64" s="38" t="s">
        <v>4</v>
      </c>
      <c r="D64" s="43">
        <v>0</v>
      </c>
      <c r="E64" s="42">
        <f t="shared" si="16"/>
        <v>43976</v>
      </c>
      <c r="F64" s="42">
        <v>44286</v>
      </c>
      <c r="G64" s="38">
        <f t="shared" si="17"/>
        <v>311</v>
      </c>
      <c r="H64" s="38">
        <v>365</v>
      </c>
      <c r="I64" s="37">
        <f t="shared" si="18"/>
        <v>0</v>
      </c>
      <c r="J64" s="77">
        <f t="shared" si="19"/>
        <v>0</v>
      </c>
    </row>
    <row r="65" spans="1:14" ht="19.5" customHeight="1">
      <c r="B65" s="42">
        <v>44007</v>
      </c>
      <c r="C65" s="38" t="s">
        <v>4</v>
      </c>
      <c r="D65" s="43">
        <v>0</v>
      </c>
      <c r="E65" s="42">
        <f t="shared" si="16"/>
        <v>44007</v>
      </c>
      <c r="F65" s="42">
        <v>44286</v>
      </c>
      <c r="G65" s="38">
        <f t="shared" si="17"/>
        <v>280</v>
      </c>
      <c r="H65" s="38">
        <v>365</v>
      </c>
      <c r="I65" s="37">
        <f t="shared" si="18"/>
        <v>0</v>
      </c>
      <c r="J65" s="77">
        <f t="shared" si="19"/>
        <v>0</v>
      </c>
    </row>
    <row r="66" spans="1:14" ht="19.5" customHeight="1">
      <c r="B66" s="42">
        <v>44037</v>
      </c>
      <c r="C66" s="38" t="s">
        <v>4</v>
      </c>
      <c r="D66" s="43"/>
      <c r="E66" s="42">
        <f t="shared" si="16"/>
        <v>44037</v>
      </c>
      <c r="F66" s="42">
        <v>44286</v>
      </c>
      <c r="G66" s="38">
        <f t="shared" si="17"/>
        <v>250</v>
      </c>
      <c r="H66" s="38">
        <v>365</v>
      </c>
      <c r="I66" s="37">
        <f t="shared" si="18"/>
        <v>0</v>
      </c>
      <c r="J66" s="77">
        <f t="shared" si="19"/>
        <v>0</v>
      </c>
    </row>
    <row r="67" spans="1:14" ht="19.5" customHeight="1">
      <c r="B67" s="42">
        <v>44068</v>
      </c>
      <c r="C67" s="38" t="s">
        <v>4</v>
      </c>
      <c r="D67" s="43"/>
      <c r="E67" s="42">
        <f t="shared" si="16"/>
        <v>44068</v>
      </c>
      <c r="F67" s="42">
        <v>44286</v>
      </c>
      <c r="G67" s="38">
        <f t="shared" si="17"/>
        <v>219</v>
      </c>
      <c r="H67" s="38">
        <v>365</v>
      </c>
      <c r="I67" s="37">
        <f t="shared" si="18"/>
        <v>0</v>
      </c>
      <c r="J67" s="77">
        <f t="shared" si="19"/>
        <v>0</v>
      </c>
    </row>
    <row r="68" spans="1:14" ht="19.5" customHeight="1">
      <c r="B68" s="42">
        <v>44099</v>
      </c>
      <c r="C68" s="38" t="s">
        <v>4</v>
      </c>
      <c r="D68" s="43">
        <v>0</v>
      </c>
      <c r="E68" s="42">
        <f t="shared" si="16"/>
        <v>44099</v>
      </c>
      <c r="F68" s="42">
        <v>44286</v>
      </c>
      <c r="G68" s="38">
        <f t="shared" si="17"/>
        <v>188</v>
      </c>
      <c r="H68" s="38">
        <v>365</v>
      </c>
      <c r="I68" s="37">
        <f t="shared" si="18"/>
        <v>0</v>
      </c>
      <c r="J68" s="77">
        <f t="shared" si="19"/>
        <v>0</v>
      </c>
    </row>
    <row r="69" spans="1:14" ht="19.5" customHeight="1">
      <c r="B69" s="42">
        <v>44129</v>
      </c>
      <c r="C69" s="38" t="s">
        <v>4</v>
      </c>
      <c r="D69" s="43">
        <v>0</v>
      </c>
      <c r="E69" s="42">
        <f t="shared" si="16"/>
        <v>44129</v>
      </c>
      <c r="F69" s="42">
        <v>44286</v>
      </c>
      <c r="G69" s="38">
        <f t="shared" si="17"/>
        <v>158</v>
      </c>
      <c r="H69" s="38">
        <v>365</v>
      </c>
      <c r="I69" s="37">
        <f t="shared" si="18"/>
        <v>0</v>
      </c>
      <c r="J69" s="77">
        <f t="shared" si="19"/>
        <v>0</v>
      </c>
    </row>
    <row r="70" spans="1:14" ht="19.5" customHeight="1">
      <c r="B70" s="42">
        <v>44160</v>
      </c>
      <c r="C70" s="38" t="s">
        <v>4</v>
      </c>
      <c r="D70" s="43">
        <v>0</v>
      </c>
      <c r="E70" s="42">
        <f t="shared" si="16"/>
        <v>44160</v>
      </c>
      <c r="F70" s="42">
        <v>44286</v>
      </c>
      <c r="G70" s="38">
        <f t="shared" si="17"/>
        <v>127</v>
      </c>
      <c r="H70" s="38">
        <v>365</v>
      </c>
      <c r="I70" s="37">
        <f t="shared" si="18"/>
        <v>0</v>
      </c>
      <c r="J70" s="77">
        <f t="shared" si="19"/>
        <v>0</v>
      </c>
    </row>
    <row r="71" spans="1:14" ht="19.5" customHeight="1">
      <c r="B71" s="42">
        <v>44190</v>
      </c>
      <c r="C71" s="38" t="s">
        <v>4</v>
      </c>
      <c r="D71" s="43">
        <v>0</v>
      </c>
      <c r="E71" s="42">
        <f t="shared" si="16"/>
        <v>44190</v>
      </c>
      <c r="F71" s="42">
        <v>44286</v>
      </c>
      <c r="G71" s="38">
        <f t="shared" si="17"/>
        <v>97</v>
      </c>
      <c r="H71" s="38">
        <v>365</v>
      </c>
      <c r="I71" s="37">
        <f t="shared" si="18"/>
        <v>0</v>
      </c>
      <c r="J71" s="77">
        <f t="shared" si="19"/>
        <v>0</v>
      </c>
    </row>
    <row r="72" spans="1:14" ht="19.5" customHeight="1" thickBot="1">
      <c r="B72" s="42">
        <v>44221</v>
      </c>
      <c r="C72" s="38" t="s">
        <v>4</v>
      </c>
      <c r="D72" s="43">
        <v>0</v>
      </c>
      <c r="E72" s="42">
        <f t="shared" si="16"/>
        <v>44221</v>
      </c>
      <c r="F72" s="42">
        <v>44286</v>
      </c>
      <c r="G72" s="38">
        <f t="shared" si="17"/>
        <v>66</v>
      </c>
      <c r="H72" s="38">
        <v>365</v>
      </c>
      <c r="I72" s="37">
        <f t="shared" si="18"/>
        <v>0</v>
      </c>
      <c r="J72" s="77">
        <f t="shared" si="19"/>
        <v>0</v>
      </c>
    </row>
    <row r="73" spans="1:14" ht="19.5" customHeight="1" thickBot="1">
      <c r="B73" s="42">
        <v>44252</v>
      </c>
      <c r="C73" s="38" t="s">
        <v>4</v>
      </c>
      <c r="D73" s="43">
        <v>0</v>
      </c>
      <c r="E73" s="42">
        <f t="shared" si="16"/>
        <v>44252</v>
      </c>
      <c r="F73" s="42">
        <v>44286</v>
      </c>
      <c r="G73" s="38">
        <f t="shared" si="17"/>
        <v>35</v>
      </c>
      <c r="H73" s="38">
        <v>365</v>
      </c>
      <c r="I73" s="37">
        <f t="shared" si="18"/>
        <v>0</v>
      </c>
      <c r="J73" s="77">
        <f t="shared" si="19"/>
        <v>0</v>
      </c>
      <c r="K73" s="99" t="s">
        <v>15</v>
      </c>
      <c r="L73" s="100"/>
      <c r="M73" s="100"/>
      <c r="N73" s="101"/>
    </row>
    <row r="74" spans="1:14" ht="19.5" customHeight="1">
      <c r="B74" s="42">
        <v>44280</v>
      </c>
      <c r="C74" s="38" t="s">
        <v>4</v>
      </c>
      <c r="D74" s="43">
        <v>0</v>
      </c>
      <c r="E74" s="42">
        <f t="shared" si="16"/>
        <v>44280</v>
      </c>
      <c r="F74" s="42">
        <v>44286</v>
      </c>
      <c r="G74" s="38">
        <f t="shared" si="17"/>
        <v>7</v>
      </c>
      <c r="H74" s="38">
        <v>365</v>
      </c>
      <c r="I74" s="37">
        <f t="shared" si="18"/>
        <v>0</v>
      </c>
      <c r="J74" s="77">
        <f t="shared" si="19"/>
        <v>0</v>
      </c>
      <c r="K74" s="44" t="s">
        <v>11</v>
      </c>
      <c r="L74" s="45" t="s">
        <v>12</v>
      </c>
      <c r="M74" s="45" t="s">
        <v>13</v>
      </c>
      <c r="N74" s="46" t="s">
        <v>14</v>
      </c>
    </row>
    <row r="75" spans="1:14" ht="19.5" customHeight="1" thickBot="1">
      <c r="D75" s="43">
        <f>SUM(D62:D74)</f>
        <v>52171977038</v>
      </c>
      <c r="J75" s="77">
        <f>SUM(J62:J74)</f>
        <v>52171977000</v>
      </c>
      <c r="K75" s="47">
        <f>ROUNDDOWN(J75*1.6/100,0)</f>
        <v>834751632</v>
      </c>
      <c r="L75" s="48">
        <f>ROUNDDOWN(K75*0.15315,0)</f>
        <v>127842212</v>
      </c>
      <c r="M75" s="41">
        <f>ROUNDDOWN(K75*0.05,0)</f>
        <v>41737581</v>
      </c>
      <c r="N75" s="49">
        <f>K75-L75-M75</f>
        <v>665171839</v>
      </c>
    </row>
    <row r="76" spans="1:14" ht="19.5" customHeight="1">
      <c r="A76" s="38" t="s">
        <v>34</v>
      </c>
      <c r="B76" s="42">
        <v>44287</v>
      </c>
      <c r="C76" s="38" t="s">
        <v>5</v>
      </c>
      <c r="D76" s="51">
        <f>D75+N75</f>
        <v>52837148877</v>
      </c>
      <c r="E76" s="42">
        <f t="shared" ref="E76:E88" si="20">B76</f>
        <v>44287</v>
      </c>
      <c r="F76" s="42">
        <v>44651</v>
      </c>
      <c r="G76" s="38">
        <f t="shared" ref="G76:G88" si="21">F76-B76+1</f>
        <v>365</v>
      </c>
      <c r="H76" s="38">
        <v>365</v>
      </c>
      <c r="I76" s="37">
        <f t="shared" ref="I76:I88" si="22">ROUNDDOWN(D76/100,0)*100</f>
        <v>52837148800</v>
      </c>
      <c r="J76" s="77">
        <f t="shared" ref="J76:J88" si="23">ROUNDDOWN(I76*G76/H76,0)</f>
        <v>52837148800</v>
      </c>
      <c r="L76" s="38" t="s">
        <v>16</v>
      </c>
    </row>
    <row r="77" spans="1:14" ht="19.5" customHeight="1">
      <c r="B77" s="42">
        <v>44311</v>
      </c>
      <c r="C77" s="38" t="s">
        <v>4</v>
      </c>
      <c r="D77" s="43">
        <v>0</v>
      </c>
      <c r="E77" s="42">
        <f t="shared" si="20"/>
        <v>44311</v>
      </c>
      <c r="F77" s="42">
        <v>44651</v>
      </c>
      <c r="G77" s="38">
        <f t="shared" si="21"/>
        <v>341</v>
      </c>
      <c r="H77" s="38">
        <v>365</v>
      </c>
      <c r="I77" s="37">
        <f t="shared" si="22"/>
        <v>0</v>
      </c>
      <c r="J77" s="77">
        <f t="shared" si="23"/>
        <v>0</v>
      </c>
    </row>
    <row r="78" spans="1:14" ht="19.5" customHeight="1">
      <c r="B78" s="42">
        <v>44341</v>
      </c>
      <c r="C78" s="38" t="s">
        <v>4</v>
      </c>
      <c r="D78" s="43">
        <v>0</v>
      </c>
      <c r="E78" s="42">
        <f t="shared" si="20"/>
        <v>44341</v>
      </c>
      <c r="F78" s="42">
        <v>44651</v>
      </c>
      <c r="G78" s="38">
        <f t="shared" si="21"/>
        <v>311</v>
      </c>
      <c r="H78" s="38">
        <v>365</v>
      </c>
      <c r="I78" s="37">
        <f t="shared" si="22"/>
        <v>0</v>
      </c>
      <c r="J78" s="77">
        <f t="shared" si="23"/>
        <v>0</v>
      </c>
    </row>
    <row r="79" spans="1:14" ht="19.5" customHeight="1">
      <c r="B79" s="42">
        <v>44372</v>
      </c>
      <c r="C79" s="38" t="s">
        <v>4</v>
      </c>
      <c r="D79" s="43">
        <v>0</v>
      </c>
      <c r="E79" s="42">
        <f t="shared" si="20"/>
        <v>44372</v>
      </c>
      <c r="F79" s="42">
        <v>44651</v>
      </c>
      <c r="G79" s="38">
        <f t="shared" si="21"/>
        <v>280</v>
      </c>
      <c r="H79" s="38">
        <v>365</v>
      </c>
      <c r="I79" s="37">
        <f t="shared" si="22"/>
        <v>0</v>
      </c>
      <c r="J79" s="77">
        <f t="shared" si="23"/>
        <v>0</v>
      </c>
    </row>
    <row r="80" spans="1:14" ht="19.5" customHeight="1">
      <c r="B80" s="42">
        <v>44402</v>
      </c>
      <c r="C80" s="38" t="s">
        <v>4</v>
      </c>
      <c r="D80" s="43">
        <v>0</v>
      </c>
      <c r="E80" s="42">
        <f t="shared" si="20"/>
        <v>44402</v>
      </c>
      <c r="F80" s="42">
        <v>44651</v>
      </c>
      <c r="G80" s="38">
        <f t="shared" si="21"/>
        <v>250</v>
      </c>
      <c r="H80" s="38">
        <v>365</v>
      </c>
      <c r="I80" s="37">
        <f t="shared" si="22"/>
        <v>0</v>
      </c>
      <c r="J80" s="77">
        <f t="shared" si="23"/>
        <v>0</v>
      </c>
    </row>
    <row r="81" spans="1:14" ht="19.5" customHeight="1">
      <c r="B81" s="42">
        <v>44433</v>
      </c>
      <c r="C81" s="38" t="s">
        <v>4</v>
      </c>
      <c r="D81" s="43">
        <v>0</v>
      </c>
      <c r="E81" s="42">
        <f t="shared" si="20"/>
        <v>44433</v>
      </c>
      <c r="F81" s="42">
        <v>44651</v>
      </c>
      <c r="G81" s="38">
        <f t="shared" si="21"/>
        <v>219</v>
      </c>
      <c r="H81" s="38">
        <v>365</v>
      </c>
      <c r="I81" s="37">
        <f t="shared" si="22"/>
        <v>0</v>
      </c>
      <c r="J81" s="77">
        <f t="shared" si="23"/>
        <v>0</v>
      </c>
    </row>
    <row r="82" spans="1:14" ht="19.5" customHeight="1">
      <c r="B82" s="42">
        <v>44464</v>
      </c>
      <c r="C82" s="38" t="s">
        <v>4</v>
      </c>
      <c r="D82" s="43">
        <v>0</v>
      </c>
      <c r="E82" s="42">
        <f t="shared" si="20"/>
        <v>44464</v>
      </c>
      <c r="F82" s="42">
        <v>44651</v>
      </c>
      <c r="G82" s="38">
        <f t="shared" si="21"/>
        <v>188</v>
      </c>
      <c r="H82" s="38">
        <v>365</v>
      </c>
      <c r="I82" s="37">
        <f t="shared" si="22"/>
        <v>0</v>
      </c>
      <c r="J82" s="77">
        <f t="shared" si="23"/>
        <v>0</v>
      </c>
    </row>
    <row r="83" spans="1:14" ht="19.5" customHeight="1">
      <c r="B83" s="42">
        <v>44494</v>
      </c>
      <c r="C83" s="38" t="s">
        <v>4</v>
      </c>
      <c r="D83" s="43">
        <v>0</v>
      </c>
      <c r="E83" s="42">
        <f t="shared" si="20"/>
        <v>44494</v>
      </c>
      <c r="F83" s="42">
        <v>44651</v>
      </c>
      <c r="G83" s="38">
        <f t="shared" si="21"/>
        <v>158</v>
      </c>
      <c r="H83" s="38">
        <v>365</v>
      </c>
      <c r="I83" s="37">
        <f t="shared" si="22"/>
        <v>0</v>
      </c>
      <c r="J83" s="77">
        <f t="shared" si="23"/>
        <v>0</v>
      </c>
    </row>
    <row r="84" spans="1:14" ht="19.5" customHeight="1">
      <c r="B84" s="42">
        <v>44525</v>
      </c>
      <c r="C84" s="38" t="s">
        <v>4</v>
      </c>
      <c r="D84" s="43">
        <v>0</v>
      </c>
      <c r="E84" s="42">
        <f t="shared" si="20"/>
        <v>44525</v>
      </c>
      <c r="F84" s="42">
        <v>44651</v>
      </c>
      <c r="G84" s="38">
        <f t="shared" si="21"/>
        <v>127</v>
      </c>
      <c r="H84" s="38">
        <v>365</v>
      </c>
      <c r="I84" s="37">
        <f t="shared" si="22"/>
        <v>0</v>
      </c>
      <c r="J84" s="77">
        <f t="shared" si="23"/>
        <v>0</v>
      </c>
    </row>
    <row r="85" spans="1:14" ht="19.5" customHeight="1">
      <c r="B85" s="42">
        <v>44555</v>
      </c>
      <c r="C85" s="38" t="s">
        <v>4</v>
      </c>
      <c r="D85" s="43">
        <v>0</v>
      </c>
      <c r="E85" s="42">
        <f t="shared" si="20"/>
        <v>44555</v>
      </c>
      <c r="F85" s="42">
        <v>44651</v>
      </c>
      <c r="G85" s="38">
        <f t="shared" si="21"/>
        <v>97</v>
      </c>
      <c r="H85" s="38">
        <v>365</v>
      </c>
      <c r="I85" s="37">
        <f t="shared" si="22"/>
        <v>0</v>
      </c>
      <c r="J85" s="77">
        <f t="shared" si="23"/>
        <v>0</v>
      </c>
    </row>
    <row r="86" spans="1:14" ht="19.5" customHeight="1" thickBot="1">
      <c r="B86" s="42">
        <v>44586</v>
      </c>
      <c r="C86" s="38" t="s">
        <v>4</v>
      </c>
      <c r="D86" s="43">
        <v>0</v>
      </c>
      <c r="E86" s="42">
        <f t="shared" si="20"/>
        <v>44586</v>
      </c>
      <c r="F86" s="42">
        <v>44651</v>
      </c>
      <c r="G86" s="38">
        <f t="shared" si="21"/>
        <v>66</v>
      </c>
      <c r="H86" s="38">
        <v>365</v>
      </c>
      <c r="I86" s="37">
        <f t="shared" si="22"/>
        <v>0</v>
      </c>
      <c r="J86" s="77">
        <f t="shared" si="23"/>
        <v>0</v>
      </c>
    </row>
    <row r="87" spans="1:14" ht="19.5" customHeight="1" thickBot="1">
      <c r="B87" s="42">
        <v>44617</v>
      </c>
      <c r="C87" s="38" t="s">
        <v>4</v>
      </c>
      <c r="D87" s="43">
        <v>0</v>
      </c>
      <c r="E87" s="42">
        <f t="shared" si="20"/>
        <v>44617</v>
      </c>
      <c r="F87" s="42">
        <v>44651</v>
      </c>
      <c r="G87" s="38">
        <f t="shared" si="21"/>
        <v>35</v>
      </c>
      <c r="H87" s="38">
        <v>365</v>
      </c>
      <c r="I87" s="37">
        <f t="shared" si="22"/>
        <v>0</v>
      </c>
      <c r="J87" s="77">
        <f t="shared" si="23"/>
        <v>0</v>
      </c>
      <c r="K87" s="99" t="s">
        <v>15</v>
      </c>
      <c r="L87" s="100"/>
      <c r="M87" s="100"/>
      <c r="N87" s="101"/>
    </row>
    <row r="88" spans="1:14" ht="19.5" customHeight="1">
      <c r="B88" s="42">
        <v>44645</v>
      </c>
      <c r="C88" s="38" t="s">
        <v>4</v>
      </c>
      <c r="D88" s="43">
        <v>0</v>
      </c>
      <c r="E88" s="42">
        <f t="shared" si="20"/>
        <v>44645</v>
      </c>
      <c r="F88" s="42">
        <v>44651</v>
      </c>
      <c r="G88" s="38">
        <f t="shared" si="21"/>
        <v>7</v>
      </c>
      <c r="H88" s="38">
        <v>365</v>
      </c>
      <c r="I88" s="37">
        <f t="shared" si="22"/>
        <v>0</v>
      </c>
      <c r="J88" s="77">
        <f t="shared" si="23"/>
        <v>0</v>
      </c>
      <c r="K88" s="44" t="s">
        <v>11</v>
      </c>
      <c r="L88" s="45" t="s">
        <v>12</v>
      </c>
      <c r="M88" s="45" t="s">
        <v>13</v>
      </c>
      <c r="N88" s="46" t="s">
        <v>14</v>
      </c>
    </row>
    <row r="89" spans="1:14" ht="19.5" customHeight="1" thickBot="1">
      <c r="D89" s="43">
        <f>SUM(D76:D88)</f>
        <v>52837148877</v>
      </c>
      <c r="J89" s="77">
        <f>SUM(J76:J88)</f>
        <v>52837148800</v>
      </c>
      <c r="K89" s="47">
        <f>ROUNDDOWN(J89*1.6/100,0)</f>
        <v>845394380</v>
      </c>
      <c r="L89" s="48">
        <f>ROUNDDOWN(K89*0.15315,0)</f>
        <v>129472149</v>
      </c>
      <c r="M89" s="41">
        <f>ROUNDDOWN(K89*0.05,0)</f>
        <v>42269719</v>
      </c>
      <c r="N89" s="49">
        <f>K89-L89-M89</f>
        <v>673652512</v>
      </c>
    </row>
    <row r="90" spans="1:14" ht="19.5" customHeight="1">
      <c r="A90" s="38" t="s">
        <v>35</v>
      </c>
      <c r="B90" s="42">
        <v>44652</v>
      </c>
      <c r="C90" s="38" t="s">
        <v>5</v>
      </c>
      <c r="D90" s="51">
        <f>D89+N89</f>
        <v>53510801389</v>
      </c>
      <c r="E90" s="42">
        <f t="shared" ref="E90:E102" si="24">B90</f>
        <v>44652</v>
      </c>
      <c r="F90" s="42">
        <v>45016</v>
      </c>
      <c r="G90" s="38">
        <f t="shared" ref="G90:G102" si="25">F90-B90+1</f>
        <v>365</v>
      </c>
      <c r="H90" s="38">
        <v>365</v>
      </c>
      <c r="I90" s="37">
        <f t="shared" ref="I90:I102" si="26">ROUNDDOWN(D90/100,0)*100</f>
        <v>53510801300</v>
      </c>
      <c r="J90" s="79">
        <f t="shared" ref="J90:J102" si="27">ROUNDDOWN(I90*G90/H90,0)</f>
        <v>53510801300</v>
      </c>
      <c r="L90" s="38" t="s">
        <v>16</v>
      </c>
    </row>
    <row r="91" spans="1:14" ht="19.5" customHeight="1">
      <c r="B91" s="42">
        <v>44676</v>
      </c>
      <c r="C91" s="38" t="s">
        <v>4</v>
      </c>
      <c r="D91" s="43">
        <v>0</v>
      </c>
      <c r="E91" s="42">
        <f t="shared" si="24"/>
        <v>44676</v>
      </c>
      <c r="F91" s="42">
        <v>45016</v>
      </c>
      <c r="G91" s="38">
        <f t="shared" si="25"/>
        <v>341</v>
      </c>
      <c r="H91" s="38">
        <v>365</v>
      </c>
      <c r="I91" s="37">
        <f t="shared" si="26"/>
        <v>0</v>
      </c>
      <c r="J91" s="79">
        <f t="shared" si="27"/>
        <v>0</v>
      </c>
    </row>
    <row r="92" spans="1:14" ht="19.5" customHeight="1">
      <c r="B92" s="42">
        <v>44706</v>
      </c>
      <c r="C92" s="38" t="s">
        <v>4</v>
      </c>
      <c r="D92" s="43">
        <v>0</v>
      </c>
      <c r="E92" s="42">
        <f t="shared" si="24"/>
        <v>44706</v>
      </c>
      <c r="F92" s="42">
        <v>45016</v>
      </c>
      <c r="G92" s="38">
        <f t="shared" si="25"/>
        <v>311</v>
      </c>
      <c r="H92" s="38">
        <v>365</v>
      </c>
      <c r="I92" s="37">
        <f t="shared" si="26"/>
        <v>0</v>
      </c>
      <c r="J92" s="79">
        <f t="shared" si="27"/>
        <v>0</v>
      </c>
    </row>
    <row r="93" spans="1:14" ht="19.5" customHeight="1">
      <c r="B93" s="42">
        <v>44737</v>
      </c>
      <c r="C93" s="38" t="s">
        <v>4</v>
      </c>
      <c r="D93" s="43">
        <v>0</v>
      </c>
      <c r="E93" s="42">
        <f t="shared" si="24"/>
        <v>44737</v>
      </c>
      <c r="F93" s="42">
        <v>45016</v>
      </c>
      <c r="G93" s="38">
        <f t="shared" si="25"/>
        <v>280</v>
      </c>
      <c r="H93" s="38">
        <v>365</v>
      </c>
      <c r="I93" s="37">
        <f t="shared" si="26"/>
        <v>0</v>
      </c>
      <c r="J93" s="79">
        <f t="shared" si="27"/>
        <v>0</v>
      </c>
    </row>
    <row r="94" spans="1:14" ht="19.5" customHeight="1">
      <c r="B94" s="42">
        <v>44767</v>
      </c>
      <c r="C94" s="38" t="s">
        <v>4</v>
      </c>
      <c r="D94" s="43">
        <v>0</v>
      </c>
      <c r="E94" s="42">
        <f t="shared" si="24"/>
        <v>44767</v>
      </c>
      <c r="F94" s="42">
        <v>45016</v>
      </c>
      <c r="G94" s="38">
        <f t="shared" si="25"/>
        <v>250</v>
      </c>
      <c r="H94" s="38">
        <v>365</v>
      </c>
      <c r="I94" s="37">
        <f t="shared" si="26"/>
        <v>0</v>
      </c>
      <c r="J94" s="79">
        <f t="shared" si="27"/>
        <v>0</v>
      </c>
    </row>
    <row r="95" spans="1:14" ht="19.5" customHeight="1">
      <c r="B95" s="42">
        <v>44798</v>
      </c>
      <c r="C95" s="38" t="s">
        <v>4</v>
      </c>
      <c r="D95" s="43">
        <v>0</v>
      </c>
      <c r="E95" s="42">
        <f t="shared" si="24"/>
        <v>44798</v>
      </c>
      <c r="F95" s="42">
        <v>45016</v>
      </c>
      <c r="G95" s="38">
        <f t="shared" si="25"/>
        <v>219</v>
      </c>
      <c r="H95" s="38">
        <v>365</v>
      </c>
      <c r="I95" s="37">
        <f t="shared" si="26"/>
        <v>0</v>
      </c>
      <c r="J95" s="79">
        <f t="shared" si="27"/>
        <v>0</v>
      </c>
    </row>
    <row r="96" spans="1:14" ht="19.5" customHeight="1">
      <c r="B96" s="42">
        <v>44829</v>
      </c>
      <c r="C96" s="38" t="s">
        <v>4</v>
      </c>
      <c r="D96" s="43">
        <v>0</v>
      </c>
      <c r="E96" s="42">
        <f t="shared" si="24"/>
        <v>44829</v>
      </c>
      <c r="F96" s="42">
        <v>45016</v>
      </c>
      <c r="G96" s="38">
        <f t="shared" si="25"/>
        <v>188</v>
      </c>
      <c r="H96" s="38">
        <v>365</v>
      </c>
      <c r="I96" s="37">
        <f t="shared" si="26"/>
        <v>0</v>
      </c>
      <c r="J96" s="79">
        <f t="shared" si="27"/>
        <v>0</v>
      </c>
    </row>
    <row r="97" spans="2:14" ht="19.5" customHeight="1">
      <c r="B97" s="42">
        <v>44859</v>
      </c>
      <c r="C97" s="38" t="s">
        <v>4</v>
      </c>
      <c r="D97" s="43">
        <v>0</v>
      </c>
      <c r="E97" s="42">
        <f t="shared" si="24"/>
        <v>44859</v>
      </c>
      <c r="F97" s="42">
        <v>45016</v>
      </c>
      <c r="G97" s="38">
        <f t="shared" si="25"/>
        <v>158</v>
      </c>
      <c r="H97" s="38">
        <v>365</v>
      </c>
      <c r="I97" s="37">
        <f t="shared" si="26"/>
        <v>0</v>
      </c>
      <c r="J97" s="79">
        <f t="shared" si="27"/>
        <v>0</v>
      </c>
    </row>
    <row r="98" spans="2:14" ht="19.5" customHeight="1">
      <c r="B98" s="42">
        <v>44890</v>
      </c>
      <c r="C98" s="38" t="s">
        <v>4</v>
      </c>
      <c r="D98" s="43">
        <v>0</v>
      </c>
      <c r="E98" s="42">
        <f t="shared" si="24"/>
        <v>44890</v>
      </c>
      <c r="F98" s="42">
        <v>45016</v>
      </c>
      <c r="G98" s="38">
        <f t="shared" si="25"/>
        <v>127</v>
      </c>
      <c r="H98" s="38">
        <v>365</v>
      </c>
      <c r="I98" s="37">
        <f t="shared" si="26"/>
        <v>0</v>
      </c>
      <c r="J98" s="79">
        <f t="shared" si="27"/>
        <v>0</v>
      </c>
    </row>
    <row r="99" spans="2:14" ht="19.5" customHeight="1">
      <c r="B99" s="42">
        <v>44920</v>
      </c>
      <c r="C99" s="38" t="s">
        <v>4</v>
      </c>
      <c r="D99" s="43">
        <v>0</v>
      </c>
      <c r="E99" s="42">
        <f t="shared" si="24"/>
        <v>44920</v>
      </c>
      <c r="F99" s="42">
        <v>45016</v>
      </c>
      <c r="G99" s="38">
        <f t="shared" si="25"/>
        <v>97</v>
      </c>
      <c r="H99" s="38">
        <v>365</v>
      </c>
      <c r="I99" s="37">
        <f t="shared" si="26"/>
        <v>0</v>
      </c>
      <c r="J99" s="79">
        <f t="shared" si="27"/>
        <v>0</v>
      </c>
    </row>
    <row r="100" spans="2:14" ht="19.5" customHeight="1" thickBot="1">
      <c r="B100" s="42">
        <v>44951</v>
      </c>
      <c r="C100" s="38" t="s">
        <v>4</v>
      </c>
      <c r="D100" s="43">
        <v>0</v>
      </c>
      <c r="E100" s="42">
        <f t="shared" si="24"/>
        <v>44951</v>
      </c>
      <c r="F100" s="42">
        <v>45016</v>
      </c>
      <c r="G100" s="38">
        <f t="shared" si="25"/>
        <v>66</v>
      </c>
      <c r="H100" s="38">
        <v>365</v>
      </c>
      <c r="I100" s="37">
        <f t="shared" si="26"/>
        <v>0</v>
      </c>
      <c r="J100" s="79">
        <f t="shared" si="27"/>
        <v>0</v>
      </c>
    </row>
    <row r="101" spans="2:14" ht="19.5" customHeight="1" thickBot="1">
      <c r="B101" s="42">
        <v>44982</v>
      </c>
      <c r="C101" s="38" t="s">
        <v>4</v>
      </c>
      <c r="D101" s="43">
        <v>0</v>
      </c>
      <c r="E101" s="42">
        <f t="shared" si="24"/>
        <v>44982</v>
      </c>
      <c r="F101" s="42">
        <v>45016</v>
      </c>
      <c r="G101" s="38">
        <f t="shared" si="25"/>
        <v>35</v>
      </c>
      <c r="H101" s="38">
        <v>365</v>
      </c>
      <c r="I101" s="37">
        <f t="shared" si="26"/>
        <v>0</v>
      </c>
      <c r="J101" s="79">
        <f t="shared" si="27"/>
        <v>0</v>
      </c>
      <c r="K101" s="99" t="s">
        <v>15</v>
      </c>
      <c r="L101" s="100"/>
      <c r="M101" s="100"/>
      <c r="N101" s="101"/>
    </row>
    <row r="102" spans="2:14" ht="19.5" customHeight="1">
      <c r="B102" s="42">
        <v>45010</v>
      </c>
      <c r="C102" s="38" t="s">
        <v>4</v>
      </c>
      <c r="D102" s="43">
        <v>0</v>
      </c>
      <c r="E102" s="42">
        <f t="shared" si="24"/>
        <v>45010</v>
      </c>
      <c r="F102" s="42">
        <v>45016</v>
      </c>
      <c r="G102" s="38">
        <f t="shared" si="25"/>
        <v>7</v>
      </c>
      <c r="H102" s="38">
        <v>365</v>
      </c>
      <c r="I102" s="37">
        <f t="shared" si="26"/>
        <v>0</v>
      </c>
      <c r="J102" s="79">
        <f t="shared" si="27"/>
        <v>0</v>
      </c>
      <c r="K102" s="44" t="s">
        <v>11</v>
      </c>
      <c r="L102" s="45" t="s">
        <v>12</v>
      </c>
      <c r="M102" s="45" t="s">
        <v>13</v>
      </c>
      <c r="N102" s="46" t="s">
        <v>14</v>
      </c>
    </row>
    <row r="103" spans="2:14" ht="19.5" customHeight="1" thickBot="1">
      <c r="D103" s="43">
        <f>SUM(D90:D102)</f>
        <v>53510801389</v>
      </c>
      <c r="J103" s="79">
        <f>SUM(J90:J102)</f>
        <v>53510801300</v>
      </c>
      <c r="K103" s="47">
        <f>ROUNDDOWN(J103*1.6/100,0)</f>
        <v>856172820</v>
      </c>
      <c r="L103" s="48">
        <f>ROUNDDOWN(K103*0.15315,0)</f>
        <v>131122867</v>
      </c>
      <c r="M103" s="41">
        <f>ROUNDDOWN(K103*0.05,0)</f>
        <v>42808641</v>
      </c>
      <c r="N103" s="49">
        <f>K103-L103-M103</f>
        <v>682241312</v>
      </c>
    </row>
    <row r="104" spans="2:14" ht="19.5" customHeight="1">
      <c r="B104" s="42">
        <v>45017</v>
      </c>
      <c r="C104" s="38" t="s">
        <v>5</v>
      </c>
      <c r="D104" s="43">
        <f>D103+N103</f>
        <v>54193042701</v>
      </c>
      <c r="E104" s="42">
        <f>B104</f>
        <v>45017</v>
      </c>
      <c r="F104" s="42">
        <v>45382</v>
      </c>
      <c r="G104" s="38">
        <f>F104-B104+1</f>
        <v>366</v>
      </c>
      <c r="H104" s="38">
        <v>365</v>
      </c>
      <c r="I104" s="37">
        <f>ROUNDDOWN(D104/100,0)*100</f>
        <v>54193042700</v>
      </c>
      <c r="J104" s="79">
        <f>ROUNDDOWN(I104*G104/H104,0)</f>
        <v>54341516789</v>
      </c>
      <c r="L104" s="38" t="s">
        <v>16</v>
      </c>
    </row>
  </sheetData>
  <mergeCells count="9">
    <mergeCell ref="K73:N73"/>
    <mergeCell ref="K87:N87"/>
    <mergeCell ref="K101:N101"/>
    <mergeCell ref="A1:H1"/>
    <mergeCell ref="K15:N15"/>
    <mergeCell ref="K30:N30"/>
    <mergeCell ref="K45:N45"/>
    <mergeCell ref="K50:N50"/>
    <mergeCell ref="K59:N59"/>
  </mergeCells>
  <phoneticPr fontId="2"/>
  <pageMargins left="0.75" right="0.75" top="1" bottom="1" header="0.51200000000000001" footer="0.51200000000000001"/>
  <pageSetup paperSize="9" scale="55" orientation="landscape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70C0"/>
  </sheetPr>
  <dimension ref="A1:S104"/>
  <sheetViews>
    <sheetView zoomScale="75" workbookViewId="0">
      <selection activeCell="L17" sqref="L17"/>
    </sheetView>
  </sheetViews>
  <sheetFormatPr defaultRowHeight="14.25"/>
  <cols>
    <col min="1" max="1" width="9" style="38"/>
    <col min="2" max="2" width="12.125" style="38" bestFit="1" customWidth="1"/>
    <col min="3" max="3" width="9" style="38"/>
    <col min="4" max="4" width="18" style="38" bestFit="1" customWidth="1"/>
    <col min="5" max="5" width="11" style="38" customWidth="1"/>
    <col min="6" max="6" width="12.125" style="38" bestFit="1" customWidth="1"/>
    <col min="7" max="7" width="10.625" style="38" bestFit="1" customWidth="1"/>
    <col min="8" max="8" width="9.125" style="38" bestFit="1" customWidth="1"/>
    <col min="9" max="9" width="16.75" style="37" bestFit="1" customWidth="1"/>
    <col min="10" max="10" width="16.75" style="77" bestFit="1" customWidth="1"/>
    <col min="11" max="11" width="13.25" style="38" bestFit="1" customWidth="1"/>
    <col min="12" max="12" width="16.75" style="38" bestFit="1" customWidth="1"/>
    <col min="13" max="13" width="12.125" style="38" bestFit="1" customWidth="1"/>
    <col min="14" max="14" width="13.25" style="38" bestFit="1" customWidth="1"/>
    <col min="15" max="16384" width="9" style="38"/>
  </cols>
  <sheetData>
    <row r="1" spans="1:19" ht="18" customHeight="1">
      <c r="A1" s="102" t="s">
        <v>36</v>
      </c>
      <c r="B1" s="102"/>
      <c r="C1" s="102"/>
      <c r="D1" s="102"/>
      <c r="E1" s="102"/>
      <c r="F1" s="102"/>
      <c r="G1" s="102"/>
      <c r="H1" s="102"/>
    </row>
    <row r="3" spans="1:19" ht="19.5" customHeight="1" thickBot="1">
      <c r="B3" s="39" t="s">
        <v>1</v>
      </c>
      <c r="C3" s="39" t="s">
        <v>2</v>
      </c>
      <c r="D3" s="40" t="s">
        <v>3</v>
      </c>
      <c r="E3" s="40" t="s">
        <v>6</v>
      </c>
      <c r="F3" s="39" t="s">
        <v>7</v>
      </c>
      <c r="G3" s="39" t="s">
        <v>8</v>
      </c>
      <c r="H3" s="39" t="s">
        <v>9</v>
      </c>
      <c r="I3" s="41" t="s">
        <v>10</v>
      </c>
      <c r="J3" s="78"/>
      <c r="K3" s="39"/>
      <c r="L3" s="39"/>
      <c r="M3" s="39"/>
      <c r="N3" s="39"/>
      <c r="O3" s="39"/>
      <c r="P3" s="39"/>
      <c r="Q3" s="39"/>
      <c r="R3" s="39"/>
      <c r="S3" s="39"/>
    </row>
    <row r="4" spans="1:19" ht="19.5" customHeight="1">
      <c r="A4" s="38" t="s">
        <v>28</v>
      </c>
      <c r="B4" s="42">
        <v>42461</v>
      </c>
      <c r="C4" s="38" t="s">
        <v>5</v>
      </c>
      <c r="D4" s="43">
        <v>47000000000</v>
      </c>
      <c r="E4" s="42">
        <f t="shared" ref="E4:E16" si="0">B4</f>
        <v>42461</v>
      </c>
      <c r="F4" s="42">
        <v>42825</v>
      </c>
      <c r="G4" s="38">
        <f t="shared" ref="G4:G16" si="1">F4-B4+1</f>
        <v>365</v>
      </c>
      <c r="H4" s="38">
        <v>365</v>
      </c>
      <c r="I4" s="37">
        <f t="shared" ref="I4:I16" si="2">ROUNDDOWN(D4/100,0)*100</f>
        <v>47000000000</v>
      </c>
      <c r="J4" s="77">
        <f t="shared" ref="J4:J16" si="3">ROUNDDOWN(I4*G4/H4,0)</f>
        <v>47000000000</v>
      </c>
    </row>
    <row r="5" spans="1:19" ht="19.5" customHeight="1">
      <c r="B5" s="42">
        <v>42485</v>
      </c>
      <c r="C5" s="38" t="s">
        <v>4</v>
      </c>
      <c r="D5" s="43">
        <v>270647000</v>
      </c>
      <c r="E5" s="42">
        <f t="shared" si="0"/>
        <v>42485</v>
      </c>
      <c r="F5" s="42">
        <v>42825</v>
      </c>
      <c r="G5" s="38">
        <f t="shared" si="1"/>
        <v>341</v>
      </c>
      <c r="H5" s="38">
        <v>365</v>
      </c>
      <c r="I5" s="37">
        <f t="shared" si="2"/>
        <v>270647000</v>
      </c>
      <c r="J5" s="77">
        <f t="shared" si="3"/>
        <v>252851032</v>
      </c>
    </row>
    <row r="6" spans="1:19" ht="19.5" customHeight="1">
      <c r="B6" s="42">
        <v>42515</v>
      </c>
      <c r="C6" s="38" t="s">
        <v>4</v>
      </c>
      <c r="D6" s="43">
        <v>270647000</v>
      </c>
      <c r="E6" s="42">
        <f t="shared" si="0"/>
        <v>42515</v>
      </c>
      <c r="F6" s="42">
        <v>42825</v>
      </c>
      <c r="G6" s="38">
        <f t="shared" si="1"/>
        <v>311</v>
      </c>
      <c r="H6" s="38">
        <v>365</v>
      </c>
      <c r="I6" s="37">
        <f t="shared" si="2"/>
        <v>270647000</v>
      </c>
      <c r="J6" s="77">
        <f t="shared" si="3"/>
        <v>230606073</v>
      </c>
    </row>
    <row r="7" spans="1:19" ht="19.5" customHeight="1">
      <c r="B7" s="42">
        <v>42546</v>
      </c>
      <c r="C7" s="38" t="s">
        <v>4</v>
      </c>
      <c r="D7" s="43">
        <v>270647000</v>
      </c>
      <c r="E7" s="42">
        <f t="shared" si="0"/>
        <v>42546</v>
      </c>
      <c r="F7" s="42">
        <v>42825</v>
      </c>
      <c r="G7" s="38">
        <f t="shared" si="1"/>
        <v>280</v>
      </c>
      <c r="H7" s="38">
        <v>365</v>
      </c>
      <c r="I7" s="37">
        <f t="shared" si="2"/>
        <v>270647000</v>
      </c>
      <c r="J7" s="77">
        <f t="shared" si="3"/>
        <v>207619616</v>
      </c>
    </row>
    <row r="8" spans="1:19" ht="19.5" customHeight="1">
      <c r="B8" s="42">
        <v>42576</v>
      </c>
      <c r="C8" s="38" t="s">
        <v>4</v>
      </c>
      <c r="D8" s="43">
        <v>270647000</v>
      </c>
      <c r="E8" s="42">
        <f t="shared" si="0"/>
        <v>42576</v>
      </c>
      <c r="F8" s="42">
        <v>42825</v>
      </c>
      <c r="G8" s="38">
        <f t="shared" si="1"/>
        <v>250</v>
      </c>
      <c r="H8" s="38">
        <v>365</v>
      </c>
      <c r="I8" s="37">
        <f t="shared" si="2"/>
        <v>270647000</v>
      </c>
      <c r="J8" s="77">
        <f t="shared" si="3"/>
        <v>185374657</v>
      </c>
    </row>
    <row r="9" spans="1:19" ht="19.5" customHeight="1">
      <c r="B9" s="42">
        <v>42607</v>
      </c>
      <c r="C9" s="38" t="s">
        <v>4</v>
      </c>
      <c r="D9" s="43">
        <v>270647000</v>
      </c>
      <c r="E9" s="42">
        <f t="shared" si="0"/>
        <v>42607</v>
      </c>
      <c r="F9" s="42">
        <v>42825</v>
      </c>
      <c r="G9" s="38">
        <f t="shared" si="1"/>
        <v>219</v>
      </c>
      <c r="H9" s="38">
        <v>365</v>
      </c>
      <c r="I9" s="37">
        <f t="shared" si="2"/>
        <v>270647000</v>
      </c>
      <c r="J9" s="77">
        <f t="shared" si="3"/>
        <v>162388200</v>
      </c>
    </row>
    <row r="10" spans="1:19" ht="19.5" customHeight="1">
      <c r="B10" s="42">
        <v>42638</v>
      </c>
      <c r="C10" s="38" t="s">
        <v>4</v>
      </c>
      <c r="D10" s="43">
        <v>270647000</v>
      </c>
      <c r="E10" s="42">
        <f t="shared" si="0"/>
        <v>42638</v>
      </c>
      <c r="F10" s="42">
        <v>42825</v>
      </c>
      <c r="G10" s="38">
        <f t="shared" si="1"/>
        <v>188</v>
      </c>
      <c r="H10" s="38">
        <v>365</v>
      </c>
      <c r="I10" s="37">
        <f t="shared" si="2"/>
        <v>270647000</v>
      </c>
      <c r="J10" s="77">
        <f t="shared" si="3"/>
        <v>139401742</v>
      </c>
    </row>
    <row r="11" spans="1:19" ht="19.5" customHeight="1">
      <c r="B11" s="42">
        <v>42668</v>
      </c>
      <c r="C11" s="38" t="s">
        <v>4</v>
      </c>
      <c r="D11" s="43">
        <v>270647000</v>
      </c>
      <c r="E11" s="42">
        <f t="shared" si="0"/>
        <v>42668</v>
      </c>
      <c r="F11" s="42">
        <v>42825</v>
      </c>
      <c r="G11" s="38">
        <f t="shared" si="1"/>
        <v>158</v>
      </c>
      <c r="H11" s="38">
        <v>365</v>
      </c>
      <c r="I11" s="37">
        <f t="shared" si="2"/>
        <v>270647000</v>
      </c>
      <c r="J11" s="77">
        <f t="shared" si="3"/>
        <v>117156783</v>
      </c>
    </row>
    <row r="12" spans="1:19" ht="19.5" customHeight="1">
      <c r="B12" s="42">
        <v>42699</v>
      </c>
      <c r="C12" s="38" t="s">
        <v>4</v>
      </c>
      <c r="D12" s="43">
        <v>270647000</v>
      </c>
      <c r="E12" s="42">
        <f t="shared" si="0"/>
        <v>42699</v>
      </c>
      <c r="F12" s="42">
        <v>42825</v>
      </c>
      <c r="G12" s="38">
        <f t="shared" si="1"/>
        <v>127</v>
      </c>
      <c r="H12" s="38">
        <v>365</v>
      </c>
      <c r="I12" s="37">
        <f t="shared" si="2"/>
        <v>270647000</v>
      </c>
      <c r="J12" s="77">
        <f t="shared" si="3"/>
        <v>94170326</v>
      </c>
    </row>
    <row r="13" spans="1:19" ht="19.5" customHeight="1">
      <c r="B13" s="42">
        <v>42729</v>
      </c>
      <c r="C13" s="38" t="s">
        <v>4</v>
      </c>
      <c r="D13" s="43">
        <v>270647000</v>
      </c>
      <c r="E13" s="42">
        <f t="shared" si="0"/>
        <v>42729</v>
      </c>
      <c r="F13" s="42">
        <v>42825</v>
      </c>
      <c r="G13" s="38">
        <f t="shared" si="1"/>
        <v>97</v>
      </c>
      <c r="H13" s="38">
        <v>365</v>
      </c>
      <c r="I13" s="37">
        <f t="shared" si="2"/>
        <v>270647000</v>
      </c>
      <c r="J13" s="77">
        <f t="shared" si="3"/>
        <v>71925367</v>
      </c>
    </row>
    <row r="14" spans="1:19" ht="19.5" customHeight="1" thickBot="1">
      <c r="B14" s="42">
        <v>42760</v>
      </c>
      <c r="C14" s="38" t="s">
        <v>4</v>
      </c>
      <c r="D14" s="43">
        <v>270647000</v>
      </c>
      <c r="E14" s="42">
        <f t="shared" si="0"/>
        <v>42760</v>
      </c>
      <c r="F14" s="42">
        <v>42825</v>
      </c>
      <c r="G14" s="38">
        <f t="shared" si="1"/>
        <v>66</v>
      </c>
      <c r="H14" s="38">
        <v>365</v>
      </c>
      <c r="I14" s="37">
        <f t="shared" si="2"/>
        <v>270647000</v>
      </c>
      <c r="J14" s="77">
        <f t="shared" si="3"/>
        <v>48938909</v>
      </c>
    </row>
    <row r="15" spans="1:19" ht="19.5" customHeight="1" thickBot="1">
      <c r="B15" s="42">
        <v>42791</v>
      </c>
      <c r="C15" s="38" t="s">
        <v>4</v>
      </c>
      <c r="D15" s="43">
        <v>270647000</v>
      </c>
      <c r="E15" s="42">
        <f t="shared" si="0"/>
        <v>42791</v>
      </c>
      <c r="F15" s="42">
        <v>42825</v>
      </c>
      <c r="G15" s="38">
        <f t="shared" si="1"/>
        <v>35</v>
      </c>
      <c r="H15" s="38">
        <v>365</v>
      </c>
      <c r="I15" s="37">
        <f t="shared" si="2"/>
        <v>270647000</v>
      </c>
      <c r="J15" s="77">
        <f t="shared" si="3"/>
        <v>25952452</v>
      </c>
      <c r="K15" s="99" t="s">
        <v>15</v>
      </c>
      <c r="L15" s="100"/>
      <c r="M15" s="100"/>
      <c r="N15" s="101"/>
    </row>
    <row r="16" spans="1:19" ht="19.5" customHeight="1">
      <c r="B16" s="42">
        <v>42819</v>
      </c>
      <c r="C16" s="38" t="s">
        <v>4</v>
      </c>
      <c r="D16" s="43">
        <v>270647000</v>
      </c>
      <c r="E16" s="42">
        <f t="shared" si="0"/>
        <v>42819</v>
      </c>
      <c r="F16" s="42">
        <v>42825</v>
      </c>
      <c r="G16" s="38">
        <f t="shared" si="1"/>
        <v>7</v>
      </c>
      <c r="H16" s="38">
        <v>365</v>
      </c>
      <c r="I16" s="37">
        <f t="shared" si="2"/>
        <v>270647000</v>
      </c>
      <c r="J16" s="77">
        <f t="shared" si="3"/>
        <v>5190490</v>
      </c>
      <c r="K16" s="44" t="s">
        <v>11</v>
      </c>
      <c r="L16" s="45" t="s">
        <v>12</v>
      </c>
      <c r="M16" s="45" t="s">
        <v>13</v>
      </c>
      <c r="N16" s="46" t="s">
        <v>14</v>
      </c>
    </row>
    <row r="17" spans="1:17" ht="19.5" customHeight="1" thickBot="1">
      <c r="B17" s="42"/>
      <c r="D17" s="43">
        <f>SUM(D4:D16)</f>
        <v>50247764000</v>
      </c>
      <c r="E17" s="42"/>
      <c r="F17" s="42"/>
      <c r="J17" s="77">
        <f>SUM(J4:J16)</f>
        <v>48541575647</v>
      </c>
      <c r="K17" s="47">
        <f>ROUNDDOWN(J17*1.5/100,0)</f>
        <v>728123634</v>
      </c>
      <c r="L17" s="48">
        <f>ROUNDDOWN(K17*0.15315,0)</f>
        <v>111512134</v>
      </c>
      <c r="M17" s="41">
        <f>ROUNDDOWN(K17*0.05,0)</f>
        <v>36406181</v>
      </c>
      <c r="N17" s="49">
        <f>K17-L17-M17</f>
        <v>580205319</v>
      </c>
      <c r="P17" s="77"/>
      <c r="Q17" s="80"/>
    </row>
    <row r="18" spans="1:17" ht="19.5" customHeight="1">
      <c r="B18" s="42"/>
      <c r="D18" s="43"/>
      <c r="E18" s="42"/>
      <c r="F18" s="42"/>
      <c r="L18" s="38" t="s">
        <v>16</v>
      </c>
    </row>
    <row r="19" spans="1:17" ht="19.5" customHeight="1">
      <c r="A19" s="38" t="s">
        <v>29</v>
      </c>
      <c r="B19" s="42">
        <v>42826</v>
      </c>
      <c r="C19" s="38" t="s">
        <v>5</v>
      </c>
      <c r="D19" s="43">
        <f>D17+N17</f>
        <v>50827969319</v>
      </c>
      <c r="E19" s="42">
        <f t="shared" ref="E19:E31" si="4">B19</f>
        <v>42826</v>
      </c>
      <c r="F19" s="42">
        <v>43190</v>
      </c>
      <c r="G19" s="38">
        <f t="shared" ref="G19:G31" si="5">F19-B19+1</f>
        <v>365</v>
      </c>
      <c r="H19" s="38">
        <v>365</v>
      </c>
      <c r="I19" s="37">
        <f t="shared" ref="I19:I31" si="6">ROUNDDOWN(D19/100,0)*100</f>
        <v>50827969300</v>
      </c>
      <c r="J19" s="77">
        <f t="shared" ref="J19:J31" si="7">ROUNDDOWN(I19*G19/H19,0)</f>
        <v>50827969300</v>
      </c>
    </row>
    <row r="20" spans="1:17" ht="19.5" customHeight="1">
      <c r="B20" s="42">
        <v>42850</v>
      </c>
      <c r="C20" s="38" t="s">
        <v>4</v>
      </c>
      <c r="D20" s="43">
        <v>0</v>
      </c>
      <c r="E20" s="42">
        <f t="shared" si="4"/>
        <v>42850</v>
      </c>
      <c r="F20" s="42">
        <v>43190</v>
      </c>
      <c r="G20" s="38">
        <f t="shared" si="5"/>
        <v>341</v>
      </c>
      <c r="H20" s="38">
        <v>365</v>
      </c>
      <c r="I20" s="37">
        <f t="shared" si="6"/>
        <v>0</v>
      </c>
      <c r="J20" s="77">
        <f t="shared" si="7"/>
        <v>0</v>
      </c>
    </row>
    <row r="21" spans="1:17" ht="19.5" customHeight="1">
      <c r="B21" s="42">
        <v>42880</v>
      </c>
      <c r="C21" s="38" t="s">
        <v>4</v>
      </c>
      <c r="D21" s="43">
        <v>0</v>
      </c>
      <c r="E21" s="42">
        <f t="shared" si="4"/>
        <v>42880</v>
      </c>
      <c r="F21" s="42">
        <v>43190</v>
      </c>
      <c r="G21" s="38">
        <f t="shared" si="5"/>
        <v>311</v>
      </c>
      <c r="H21" s="38">
        <v>365</v>
      </c>
      <c r="I21" s="37">
        <f t="shared" si="6"/>
        <v>0</v>
      </c>
      <c r="J21" s="77">
        <f t="shared" si="7"/>
        <v>0</v>
      </c>
    </row>
    <row r="22" spans="1:17" ht="19.5" customHeight="1">
      <c r="B22" s="42">
        <v>42911</v>
      </c>
      <c r="C22" s="38" t="s">
        <v>4</v>
      </c>
      <c r="D22" s="43">
        <v>0</v>
      </c>
      <c r="E22" s="42">
        <f t="shared" si="4"/>
        <v>42911</v>
      </c>
      <c r="F22" s="42">
        <v>43190</v>
      </c>
      <c r="G22" s="38">
        <f t="shared" si="5"/>
        <v>280</v>
      </c>
      <c r="H22" s="38">
        <v>365</v>
      </c>
      <c r="I22" s="37">
        <f t="shared" si="6"/>
        <v>0</v>
      </c>
      <c r="J22" s="77">
        <f t="shared" si="7"/>
        <v>0</v>
      </c>
    </row>
    <row r="23" spans="1:17" ht="19.5" customHeight="1">
      <c r="B23" s="42">
        <v>42941</v>
      </c>
      <c r="C23" s="38" t="s">
        <v>4</v>
      </c>
      <c r="D23" s="43">
        <v>0</v>
      </c>
      <c r="E23" s="42">
        <f t="shared" si="4"/>
        <v>42941</v>
      </c>
      <c r="F23" s="42">
        <v>43190</v>
      </c>
      <c r="G23" s="38">
        <f t="shared" si="5"/>
        <v>250</v>
      </c>
      <c r="H23" s="38">
        <v>365</v>
      </c>
      <c r="I23" s="37">
        <f t="shared" si="6"/>
        <v>0</v>
      </c>
      <c r="J23" s="77">
        <f t="shared" si="7"/>
        <v>0</v>
      </c>
    </row>
    <row r="24" spans="1:17" ht="19.5" customHeight="1">
      <c r="B24" s="42">
        <v>42972</v>
      </c>
      <c r="C24" s="38" t="s">
        <v>4</v>
      </c>
      <c r="D24" s="43">
        <v>0</v>
      </c>
      <c r="E24" s="42">
        <f t="shared" si="4"/>
        <v>42972</v>
      </c>
      <c r="F24" s="42">
        <v>43190</v>
      </c>
      <c r="G24" s="38">
        <f t="shared" si="5"/>
        <v>219</v>
      </c>
      <c r="H24" s="38">
        <v>365</v>
      </c>
      <c r="I24" s="37">
        <f t="shared" si="6"/>
        <v>0</v>
      </c>
      <c r="J24" s="77">
        <f t="shared" si="7"/>
        <v>0</v>
      </c>
    </row>
    <row r="25" spans="1:17" ht="19.5" customHeight="1">
      <c r="B25" s="42">
        <v>43003</v>
      </c>
      <c r="C25" s="38" t="s">
        <v>4</v>
      </c>
      <c r="D25" s="43">
        <v>0</v>
      </c>
      <c r="E25" s="42">
        <f t="shared" si="4"/>
        <v>43003</v>
      </c>
      <c r="F25" s="42">
        <v>43190</v>
      </c>
      <c r="G25" s="38">
        <f t="shared" si="5"/>
        <v>188</v>
      </c>
      <c r="H25" s="38">
        <v>365</v>
      </c>
      <c r="I25" s="37">
        <f t="shared" si="6"/>
        <v>0</v>
      </c>
      <c r="J25" s="77">
        <f t="shared" si="7"/>
        <v>0</v>
      </c>
    </row>
    <row r="26" spans="1:17" ht="19.5" customHeight="1">
      <c r="B26" s="42">
        <v>43033</v>
      </c>
      <c r="C26" s="38" t="s">
        <v>4</v>
      </c>
      <c r="D26" s="43">
        <v>0</v>
      </c>
      <c r="E26" s="42">
        <f t="shared" si="4"/>
        <v>43033</v>
      </c>
      <c r="F26" s="42">
        <v>43190</v>
      </c>
      <c r="G26" s="38">
        <f t="shared" si="5"/>
        <v>158</v>
      </c>
      <c r="H26" s="38">
        <v>365</v>
      </c>
      <c r="I26" s="37">
        <f t="shared" si="6"/>
        <v>0</v>
      </c>
      <c r="J26" s="77">
        <f t="shared" si="7"/>
        <v>0</v>
      </c>
    </row>
    <row r="27" spans="1:17" ht="19.5" customHeight="1">
      <c r="B27" s="42">
        <v>43064</v>
      </c>
      <c r="C27" s="38" t="s">
        <v>4</v>
      </c>
      <c r="D27" s="43">
        <v>0</v>
      </c>
      <c r="E27" s="42">
        <f t="shared" si="4"/>
        <v>43064</v>
      </c>
      <c r="F27" s="42">
        <v>43190</v>
      </c>
      <c r="G27" s="38">
        <f t="shared" si="5"/>
        <v>127</v>
      </c>
      <c r="H27" s="38">
        <v>365</v>
      </c>
      <c r="I27" s="37">
        <f t="shared" si="6"/>
        <v>0</v>
      </c>
      <c r="J27" s="77">
        <f t="shared" si="7"/>
        <v>0</v>
      </c>
    </row>
    <row r="28" spans="1:17" ht="19.5" customHeight="1">
      <c r="B28" s="42">
        <v>43094</v>
      </c>
      <c r="C28" s="38" t="s">
        <v>4</v>
      </c>
      <c r="D28" s="43">
        <v>0</v>
      </c>
      <c r="E28" s="42">
        <f t="shared" si="4"/>
        <v>43094</v>
      </c>
      <c r="F28" s="42">
        <v>43190</v>
      </c>
      <c r="G28" s="38">
        <f t="shared" si="5"/>
        <v>97</v>
      </c>
      <c r="H28" s="38">
        <v>365</v>
      </c>
      <c r="I28" s="37">
        <f t="shared" si="6"/>
        <v>0</v>
      </c>
      <c r="J28" s="77">
        <f t="shared" si="7"/>
        <v>0</v>
      </c>
    </row>
    <row r="29" spans="1:17" ht="19.5" customHeight="1" thickBot="1">
      <c r="B29" s="42">
        <v>43125</v>
      </c>
      <c r="C29" s="38" t="s">
        <v>4</v>
      </c>
      <c r="D29" s="43">
        <v>0</v>
      </c>
      <c r="E29" s="42">
        <f t="shared" si="4"/>
        <v>43125</v>
      </c>
      <c r="F29" s="42">
        <v>43190</v>
      </c>
      <c r="G29" s="38">
        <f t="shared" si="5"/>
        <v>66</v>
      </c>
      <c r="H29" s="38">
        <v>365</v>
      </c>
      <c r="I29" s="37">
        <f t="shared" si="6"/>
        <v>0</v>
      </c>
      <c r="J29" s="77">
        <f t="shared" si="7"/>
        <v>0</v>
      </c>
    </row>
    <row r="30" spans="1:17" ht="19.5" customHeight="1" thickBot="1">
      <c r="B30" s="42">
        <v>43156</v>
      </c>
      <c r="C30" s="38" t="s">
        <v>4</v>
      </c>
      <c r="D30" s="43">
        <v>0</v>
      </c>
      <c r="E30" s="42">
        <f t="shared" si="4"/>
        <v>43156</v>
      </c>
      <c r="F30" s="42">
        <v>43190</v>
      </c>
      <c r="G30" s="38">
        <f t="shared" si="5"/>
        <v>35</v>
      </c>
      <c r="H30" s="38">
        <v>365</v>
      </c>
      <c r="I30" s="37">
        <f t="shared" si="6"/>
        <v>0</v>
      </c>
      <c r="J30" s="77">
        <f t="shared" si="7"/>
        <v>0</v>
      </c>
      <c r="K30" s="99" t="s">
        <v>15</v>
      </c>
      <c r="L30" s="100"/>
      <c r="M30" s="100"/>
      <c r="N30" s="101"/>
    </row>
    <row r="31" spans="1:17" ht="19.5" customHeight="1">
      <c r="B31" s="42">
        <v>43184</v>
      </c>
      <c r="C31" s="38" t="s">
        <v>4</v>
      </c>
      <c r="D31" s="43">
        <v>0</v>
      </c>
      <c r="E31" s="42">
        <f t="shared" si="4"/>
        <v>43184</v>
      </c>
      <c r="F31" s="42">
        <v>43190</v>
      </c>
      <c r="G31" s="38">
        <f t="shared" si="5"/>
        <v>7</v>
      </c>
      <c r="H31" s="38">
        <v>365</v>
      </c>
      <c r="I31" s="37">
        <f t="shared" si="6"/>
        <v>0</v>
      </c>
      <c r="J31" s="77">
        <f t="shared" si="7"/>
        <v>0</v>
      </c>
      <c r="K31" s="44" t="s">
        <v>11</v>
      </c>
      <c r="L31" s="45" t="s">
        <v>12</v>
      </c>
      <c r="M31" s="45" t="s">
        <v>13</v>
      </c>
      <c r="N31" s="46" t="s">
        <v>14</v>
      </c>
      <c r="Q31" s="77"/>
    </row>
    <row r="32" spans="1:17" ht="19.5" customHeight="1" thickBot="1">
      <c r="D32" s="43">
        <f>SUM(D19:D31)</f>
        <v>50827969319</v>
      </c>
      <c r="J32" s="77">
        <f>SUM(J19:J31)</f>
        <v>50827969300</v>
      </c>
      <c r="K32" s="47">
        <f>ROUNDDOWN(J32*1.6/100,0)</f>
        <v>813247508</v>
      </c>
      <c r="L32" s="48">
        <f>ROUNDDOWN(K32*0.15315,0)</f>
        <v>124548855</v>
      </c>
      <c r="M32" s="41">
        <f>ROUNDDOWN(K32*0.05,0)</f>
        <v>40662375</v>
      </c>
      <c r="N32" s="49">
        <f>K32-L32-M32</f>
        <v>648036278</v>
      </c>
    </row>
    <row r="33" spans="1:14" ht="19.5" customHeight="1">
      <c r="D33" s="43"/>
      <c r="L33" s="38" t="s">
        <v>16</v>
      </c>
    </row>
    <row r="34" spans="1:14" ht="19.5" customHeight="1">
      <c r="A34" s="38" t="s">
        <v>30</v>
      </c>
      <c r="B34" s="42">
        <v>43191</v>
      </c>
      <c r="C34" s="38" t="s">
        <v>5</v>
      </c>
      <c r="D34" s="43">
        <f>D32+N32</f>
        <v>51476005597</v>
      </c>
      <c r="E34" s="42">
        <f t="shared" ref="E34:E46" si="8">B34</f>
        <v>43191</v>
      </c>
      <c r="F34" s="42">
        <v>43555</v>
      </c>
      <c r="G34" s="38">
        <f t="shared" ref="G34:G46" si="9">F34-B34+1</f>
        <v>365</v>
      </c>
      <c r="H34" s="38">
        <v>365</v>
      </c>
      <c r="I34" s="37">
        <f t="shared" ref="I34:I46" si="10">ROUNDDOWN(D34/100,0)*100</f>
        <v>51476005500</v>
      </c>
      <c r="J34" s="77">
        <f t="shared" ref="J34:J46" si="11">ROUNDDOWN(I34*G34/H34,0)</f>
        <v>51476005500</v>
      </c>
    </row>
    <row r="35" spans="1:14" ht="19.5" customHeight="1">
      <c r="B35" s="42">
        <v>43215</v>
      </c>
      <c r="C35" s="38" t="s">
        <v>4</v>
      </c>
      <c r="D35" s="43">
        <v>0</v>
      </c>
      <c r="E35" s="42">
        <f t="shared" si="8"/>
        <v>43215</v>
      </c>
      <c r="F35" s="42">
        <v>43555</v>
      </c>
      <c r="G35" s="38">
        <f t="shared" si="9"/>
        <v>341</v>
      </c>
      <c r="H35" s="38">
        <v>365</v>
      </c>
      <c r="I35" s="37">
        <f t="shared" si="10"/>
        <v>0</v>
      </c>
      <c r="J35" s="77">
        <f t="shared" si="11"/>
        <v>0</v>
      </c>
    </row>
    <row r="36" spans="1:14" ht="19.5" customHeight="1">
      <c r="B36" s="42">
        <v>43245</v>
      </c>
      <c r="C36" s="38" t="s">
        <v>4</v>
      </c>
      <c r="D36" s="43">
        <v>0</v>
      </c>
      <c r="E36" s="42">
        <f t="shared" si="8"/>
        <v>43245</v>
      </c>
      <c r="F36" s="42">
        <v>43555</v>
      </c>
      <c r="G36" s="38">
        <f t="shared" si="9"/>
        <v>311</v>
      </c>
      <c r="H36" s="38">
        <v>365</v>
      </c>
      <c r="I36" s="37">
        <f t="shared" si="10"/>
        <v>0</v>
      </c>
      <c r="J36" s="77">
        <f t="shared" si="11"/>
        <v>0</v>
      </c>
    </row>
    <row r="37" spans="1:14" ht="19.5" customHeight="1">
      <c r="B37" s="42">
        <v>43276</v>
      </c>
      <c r="C37" s="38" t="s">
        <v>4</v>
      </c>
      <c r="D37" s="43">
        <v>0</v>
      </c>
      <c r="E37" s="42">
        <f t="shared" si="8"/>
        <v>43276</v>
      </c>
      <c r="F37" s="42">
        <v>43555</v>
      </c>
      <c r="G37" s="38">
        <f t="shared" si="9"/>
        <v>280</v>
      </c>
      <c r="H37" s="38">
        <v>365</v>
      </c>
      <c r="I37" s="37">
        <f t="shared" si="10"/>
        <v>0</v>
      </c>
      <c r="J37" s="77">
        <f t="shared" si="11"/>
        <v>0</v>
      </c>
    </row>
    <row r="38" spans="1:14" ht="19.5" customHeight="1">
      <c r="B38" s="42">
        <v>43306</v>
      </c>
      <c r="C38" s="38" t="s">
        <v>4</v>
      </c>
      <c r="D38" s="43">
        <v>0</v>
      </c>
      <c r="E38" s="42">
        <f t="shared" si="8"/>
        <v>43306</v>
      </c>
      <c r="F38" s="42">
        <v>43555</v>
      </c>
      <c r="G38" s="38">
        <f t="shared" si="9"/>
        <v>250</v>
      </c>
      <c r="H38" s="38">
        <v>365</v>
      </c>
      <c r="I38" s="37">
        <f t="shared" si="10"/>
        <v>0</v>
      </c>
      <c r="J38" s="77">
        <f t="shared" si="11"/>
        <v>0</v>
      </c>
    </row>
    <row r="39" spans="1:14" ht="19.5" customHeight="1">
      <c r="B39" s="42">
        <v>43337</v>
      </c>
      <c r="C39" s="38" t="s">
        <v>4</v>
      </c>
      <c r="D39" s="43">
        <v>0</v>
      </c>
      <c r="E39" s="42">
        <f t="shared" si="8"/>
        <v>43337</v>
      </c>
      <c r="F39" s="42">
        <v>43555</v>
      </c>
      <c r="G39" s="38">
        <f t="shared" si="9"/>
        <v>219</v>
      </c>
      <c r="H39" s="38">
        <v>365</v>
      </c>
      <c r="I39" s="37">
        <f t="shared" si="10"/>
        <v>0</v>
      </c>
      <c r="J39" s="77">
        <f t="shared" si="11"/>
        <v>0</v>
      </c>
    </row>
    <row r="40" spans="1:14" ht="19.5" customHeight="1">
      <c r="B40" s="42">
        <v>43368</v>
      </c>
      <c r="C40" s="38" t="s">
        <v>4</v>
      </c>
      <c r="D40" s="43">
        <v>0</v>
      </c>
      <c r="E40" s="42">
        <f t="shared" si="8"/>
        <v>43368</v>
      </c>
      <c r="F40" s="42">
        <v>43555</v>
      </c>
      <c r="G40" s="38">
        <f t="shared" si="9"/>
        <v>188</v>
      </c>
      <c r="H40" s="38">
        <v>365</v>
      </c>
      <c r="I40" s="37">
        <f t="shared" si="10"/>
        <v>0</v>
      </c>
      <c r="J40" s="77">
        <f t="shared" si="11"/>
        <v>0</v>
      </c>
    </row>
    <row r="41" spans="1:14" ht="19.5" customHeight="1">
      <c r="B41" s="42">
        <v>43398</v>
      </c>
      <c r="C41" s="38" t="s">
        <v>4</v>
      </c>
      <c r="D41" s="43">
        <v>0</v>
      </c>
      <c r="E41" s="42">
        <f t="shared" si="8"/>
        <v>43398</v>
      </c>
      <c r="F41" s="42">
        <v>43555</v>
      </c>
      <c r="G41" s="38">
        <f t="shared" si="9"/>
        <v>158</v>
      </c>
      <c r="H41" s="38">
        <v>365</v>
      </c>
      <c r="I41" s="37">
        <f t="shared" si="10"/>
        <v>0</v>
      </c>
      <c r="J41" s="77">
        <f t="shared" si="11"/>
        <v>0</v>
      </c>
    </row>
    <row r="42" spans="1:14" ht="19.5" customHeight="1">
      <c r="B42" s="42">
        <v>43429</v>
      </c>
      <c r="C42" s="38" t="s">
        <v>4</v>
      </c>
      <c r="D42" s="43">
        <v>0</v>
      </c>
      <c r="E42" s="42">
        <f t="shared" si="8"/>
        <v>43429</v>
      </c>
      <c r="F42" s="42">
        <v>43555</v>
      </c>
      <c r="G42" s="38">
        <f t="shared" si="9"/>
        <v>127</v>
      </c>
      <c r="H42" s="38">
        <v>365</v>
      </c>
      <c r="I42" s="37">
        <f t="shared" si="10"/>
        <v>0</v>
      </c>
      <c r="J42" s="77">
        <f t="shared" si="11"/>
        <v>0</v>
      </c>
    </row>
    <row r="43" spans="1:14" ht="19.5" customHeight="1">
      <c r="B43" s="42">
        <v>43459</v>
      </c>
      <c r="C43" s="38" t="s">
        <v>4</v>
      </c>
      <c r="D43" s="43">
        <v>0</v>
      </c>
      <c r="E43" s="42">
        <f t="shared" si="8"/>
        <v>43459</v>
      </c>
      <c r="F43" s="42">
        <v>43555</v>
      </c>
      <c r="G43" s="38">
        <f t="shared" si="9"/>
        <v>97</v>
      </c>
      <c r="H43" s="38">
        <v>365</v>
      </c>
      <c r="I43" s="37">
        <f t="shared" si="10"/>
        <v>0</v>
      </c>
      <c r="J43" s="77">
        <f t="shared" si="11"/>
        <v>0</v>
      </c>
    </row>
    <row r="44" spans="1:14" ht="19.5" customHeight="1" thickBot="1">
      <c r="B44" s="42">
        <v>43490</v>
      </c>
      <c r="C44" s="38" t="s">
        <v>4</v>
      </c>
      <c r="D44" s="43">
        <v>0</v>
      </c>
      <c r="E44" s="42">
        <f t="shared" si="8"/>
        <v>43490</v>
      </c>
      <c r="F44" s="42">
        <v>43555</v>
      </c>
      <c r="G44" s="38">
        <f t="shared" si="9"/>
        <v>66</v>
      </c>
      <c r="H44" s="38">
        <v>365</v>
      </c>
      <c r="I44" s="37">
        <f t="shared" si="10"/>
        <v>0</v>
      </c>
      <c r="J44" s="77">
        <f t="shared" si="11"/>
        <v>0</v>
      </c>
    </row>
    <row r="45" spans="1:14" ht="19.5" customHeight="1" thickBot="1">
      <c r="B45" s="42">
        <v>43521</v>
      </c>
      <c r="C45" s="38" t="s">
        <v>4</v>
      </c>
      <c r="D45" s="43">
        <v>0</v>
      </c>
      <c r="E45" s="42">
        <f t="shared" si="8"/>
        <v>43521</v>
      </c>
      <c r="F45" s="42">
        <v>43555</v>
      </c>
      <c r="G45" s="38">
        <f t="shared" si="9"/>
        <v>35</v>
      </c>
      <c r="H45" s="38">
        <v>365</v>
      </c>
      <c r="I45" s="37">
        <f t="shared" si="10"/>
        <v>0</v>
      </c>
      <c r="J45" s="77">
        <f t="shared" si="11"/>
        <v>0</v>
      </c>
      <c r="K45" s="99" t="s">
        <v>15</v>
      </c>
      <c r="L45" s="100"/>
      <c r="M45" s="100"/>
      <c r="N45" s="101"/>
    </row>
    <row r="46" spans="1:14" ht="19.5" customHeight="1">
      <c r="B46" s="42">
        <v>43549</v>
      </c>
      <c r="C46" s="38" t="s">
        <v>4</v>
      </c>
      <c r="D46" s="43">
        <v>0</v>
      </c>
      <c r="E46" s="42">
        <f t="shared" si="8"/>
        <v>43549</v>
      </c>
      <c r="F46" s="42">
        <v>43555</v>
      </c>
      <c r="G46" s="38">
        <f t="shared" si="9"/>
        <v>7</v>
      </c>
      <c r="H46" s="38">
        <v>365</v>
      </c>
      <c r="I46" s="37">
        <f t="shared" si="10"/>
        <v>0</v>
      </c>
      <c r="J46" s="77">
        <f t="shared" si="11"/>
        <v>0</v>
      </c>
      <c r="K46" s="44" t="s">
        <v>11</v>
      </c>
      <c r="L46" s="45" t="s">
        <v>12</v>
      </c>
      <c r="M46" s="45" t="s">
        <v>13</v>
      </c>
      <c r="N46" s="46" t="s">
        <v>14</v>
      </c>
    </row>
    <row r="47" spans="1:14" ht="19.5" customHeight="1" thickBot="1">
      <c r="D47" s="43">
        <f>SUM(D34:D46)</f>
        <v>51476005597</v>
      </c>
      <c r="J47" s="77">
        <f>SUM(J34:J46)</f>
        <v>51476005500</v>
      </c>
      <c r="K47" s="47">
        <f>ROUNDDOWN(J47*1.6/100,0)</f>
        <v>823616088</v>
      </c>
      <c r="L47" s="48">
        <f>ROUNDDOWN(K47*0.15315,0)</f>
        <v>126136803</v>
      </c>
      <c r="M47" s="41">
        <f>ROUNDDOWN(K47*0.05,0)</f>
        <v>41180804</v>
      </c>
      <c r="N47" s="49">
        <f>K47-L47-M47</f>
        <v>656298481</v>
      </c>
    </row>
    <row r="48" spans="1:14" ht="19.5" customHeight="1">
      <c r="A48" s="38" t="s">
        <v>31</v>
      </c>
      <c r="B48" s="42">
        <v>43556</v>
      </c>
      <c r="C48" s="38" t="s">
        <v>5</v>
      </c>
      <c r="D48" s="43">
        <f>D32+N32</f>
        <v>51476005597</v>
      </c>
      <c r="E48" s="42">
        <f t="shared" ref="E48:E60" si="12">B48</f>
        <v>43556</v>
      </c>
      <c r="F48" s="42">
        <v>43921</v>
      </c>
      <c r="G48" s="38">
        <f t="shared" ref="G48:G60" si="13">F48-B48+1</f>
        <v>366</v>
      </c>
      <c r="H48" s="50">
        <v>366</v>
      </c>
      <c r="I48" s="37">
        <f t="shared" ref="I48:I60" si="14">ROUNDDOWN(D48/100,0)*100</f>
        <v>51476005500</v>
      </c>
      <c r="J48" s="77">
        <f t="shared" ref="J48:J60" si="15">ROUNDDOWN(I48*G48/H48,0)</f>
        <v>51476005500</v>
      </c>
      <c r="L48" s="38" t="s">
        <v>16</v>
      </c>
    </row>
    <row r="49" spans="1:14" ht="19.5" customHeight="1">
      <c r="B49" s="42">
        <v>43580</v>
      </c>
      <c r="C49" s="38" t="s">
        <v>4</v>
      </c>
      <c r="D49" s="43"/>
      <c r="E49" s="42">
        <f t="shared" si="12"/>
        <v>43580</v>
      </c>
      <c r="F49" s="42">
        <v>43921</v>
      </c>
      <c r="G49" s="38">
        <f t="shared" si="13"/>
        <v>342</v>
      </c>
      <c r="H49" s="50">
        <v>366</v>
      </c>
      <c r="I49" s="37">
        <f t="shared" si="14"/>
        <v>0</v>
      </c>
      <c r="J49" s="77">
        <f t="shared" si="15"/>
        <v>0</v>
      </c>
    </row>
    <row r="50" spans="1:14" ht="19.5" customHeight="1">
      <c r="B50" s="42">
        <v>43610</v>
      </c>
      <c r="C50" s="38" t="s">
        <v>4</v>
      </c>
      <c r="D50" s="43"/>
      <c r="E50" s="42">
        <f t="shared" si="12"/>
        <v>43610</v>
      </c>
      <c r="F50" s="42">
        <v>43921</v>
      </c>
      <c r="G50" s="38">
        <f t="shared" si="13"/>
        <v>312</v>
      </c>
      <c r="H50" s="50">
        <v>366</v>
      </c>
      <c r="I50" s="37">
        <f t="shared" si="14"/>
        <v>0</v>
      </c>
      <c r="J50" s="77">
        <f t="shared" si="15"/>
        <v>0</v>
      </c>
      <c r="K50" s="102" t="s">
        <v>32</v>
      </c>
      <c r="L50" s="102"/>
      <c r="M50" s="102"/>
      <c r="N50" s="102"/>
    </row>
    <row r="51" spans="1:14" ht="19.5" customHeight="1">
      <c r="B51" s="42">
        <v>43641</v>
      </c>
      <c r="C51" s="38" t="s">
        <v>4</v>
      </c>
      <c r="D51" s="43"/>
      <c r="E51" s="42">
        <f t="shared" si="12"/>
        <v>43641</v>
      </c>
      <c r="F51" s="42">
        <v>43921</v>
      </c>
      <c r="G51" s="38">
        <f t="shared" si="13"/>
        <v>281</v>
      </c>
      <c r="H51" s="50">
        <v>366</v>
      </c>
      <c r="I51" s="37">
        <f t="shared" si="14"/>
        <v>0</v>
      </c>
      <c r="J51" s="77">
        <f t="shared" si="15"/>
        <v>0</v>
      </c>
    </row>
    <row r="52" spans="1:14" ht="19.5" customHeight="1">
      <c r="B52" s="42">
        <v>43671</v>
      </c>
      <c r="C52" s="38" t="s">
        <v>4</v>
      </c>
      <c r="D52" s="43"/>
      <c r="E52" s="42">
        <f t="shared" si="12"/>
        <v>43671</v>
      </c>
      <c r="F52" s="42">
        <v>43921</v>
      </c>
      <c r="G52" s="38">
        <f t="shared" si="13"/>
        <v>251</v>
      </c>
      <c r="H52" s="50">
        <v>366</v>
      </c>
      <c r="I52" s="37">
        <f t="shared" si="14"/>
        <v>0</v>
      </c>
      <c r="J52" s="77">
        <f t="shared" si="15"/>
        <v>0</v>
      </c>
    </row>
    <row r="53" spans="1:14" ht="19.5" customHeight="1">
      <c r="B53" s="42">
        <v>43702</v>
      </c>
      <c r="C53" s="38" t="s">
        <v>4</v>
      </c>
      <c r="D53" s="43"/>
      <c r="E53" s="42">
        <f t="shared" si="12"/>
        <v>43702</v>
      </c>
      <c r="F53" s="42">
        <v>43921</v>
      </c>
      <c r="G53" s="38">
        <f t="shared" si="13"/>
        <v>220</v>
      </c>
      <c r="H53" s="50">
        <v>366</v>
      </c>
      <c r="I53" s="37">
        <f t="shared" si="14"/>
        <v>0</v>
      </c>
      <c r="J53" s="77">
        <f t="shared" si="15"/>
        <v>0</v>
      </c>
    </row>
    <row r="54" spans="1:14" ht="19.5" customHeight="1">
      <c r="B54" s="42">
        <v>43733</v>
      </c>
      <c r="C54" s="38" t="s">
        <v>4</v>
      </c>
      <c r="D54" s="43"/>
      <c r="E54" s="42">
        <f t="shared" si="12"/>
        <v>43733</v>
      </c>
      <c r="F54" s="42">
        <v>43921</v>
      </c>
      <c r="G54" s="38">
        <f t="shared" si="13"/>
        <v>189</v>
      </c>
      <c r="H54" s="50">
        <v>366</v>
      </c>
      <c r="I54" s="37">
        <f t="shared" si="14"/>
        <v>0</v>
      </c>
      <c r="J54" s="77">
        <f t="shared" si="15"/>
        <v>0</v>
      </c>
    </row>
    <row r="55" spans="1:14" ht="19.5" customHeight="1">
      <c r="B55" s="42">
        <v>43763</v>
      </c>
      <c r="C55" s="38" t="s">
        <v>4</v>
      </c>
      <c r="D55" s="43"/>
      <c r="E55" s="42">
        <f t="shared" si="12"/>
        <v>43763</v>
      </c>
      <c r="F55" s="42">
        <v>43921</v>
      </c>
      <c r="G55" s="38">
        <f t="shared" si="13"/>
        <v>159</v>
      </c>
      <c r="H55" s="50">
        <v>366</v>
      </c>
      <c r="I55" s="37">
        <f t="shared" si="14"/>
        <v>0</v>
      </c>
      <c r="J55" s="77">
        <f t="shared" si="15"/>
        <v>0</v>
      </c>
    </row>
    <row r="56" spans="1:14" ht="19.5" customHeight="1">
      <c r="B56" s="42">
        <v>43794</v>
      </c>
      <c r="C56" s="38" t="s">
        <v>4</v>
      </c>
      <c r="D56" s="43"/>
      <c r="E56" s="42">
        <f t="shared" si="12"/>
        <v>43794</v>
      </c>
      <c r="F56" s="42">
        <v>43921</v>
      </c>
      <c r="G56" s="38">
        <f t="shared" si="13"/>
        <v>128</v>
      </c>
      <c r="H56" s="50">
        <v>366</v>
      </c>
      <c r="I56" s="37">
        <f t="shared" si="14"/>
        <v>0</v>
      </c>
      <c r="J56" s="77">
        <f t="shared" si="15"/>
        <v>0</v>
      </c>
    </row>
    <row r="57" spans="1:14" ht="19.5" customHeight="1">
      <c r="B57" s="42">
        <v>43824</v>
      </c>
      <c r="C57" s="38" t="s">
        <v>4</v>
      </c>
      <c r="D57" s="43"/>
      <c r="E57" s="42">
        <f t="shared" si="12"/>
        <v>43824</v>
      </c>
      <c r="F57" s="42">
        <v>43921</v>
      </c>
      <c r="G57" s="38">
        <f t="shared" si="13"/>
        <v>98</v>
      </c>
      <c r="H57" s="50">
        <v>366</v>
      </c>
      <c r="I57" s="37">
        <f t="shared" si="14"/>
        <v>0</v>
      </c>
      <c r="J57" s="77">
        <f t="shared" si="15"/>
        <v>0</v>
      </c>
    </row>
    <row r="58" spans="1:14" ht="19.5" customHeight="1" thickBot="1">
      <c r="B58" s="42">
        <v>43855</v>
      </c>
      <c r="C58" s="38" t="s">
        <v>4</v>
      </c>
      <c r="D58" s="43"/>
      <c r="E58" s="42">
        <f t="shared" si="12"/>
        <v>43855</v>
      </c>
      <c r="F58" s="42">
        <v>43921</v>
      </c>
      <c r="G58" s="38">
        <f t="shared" si="13"/>
        <v>67</v>
      </c>
      <c r="H58" s="50">
        <v>366</v>
      </c>
      <c r="I58" s="37">
        <f t="shared" si="14"/>
        <v>0</v>
      </c>
      <c r="J58" s="77">
        <f t="shared" si="15"/>
        <v>0</v>
      </c>
    </row>
    <row r="59" spans="1:14" ht="19.5" customHeight="1" thickBot="1">
      <c r="B59" s="42">
        <v>43886</v>
      </c>
      <c r="C59" s="38" t="s">
        <v>4</v>
      </c>
      <c r="D59" s="43"/>
      <c r="E59" s="42">
        <f t="shared" si="12"/>
        <v>43886</v>
      </c>
      <c r="F59" s="42">
        <v>43921</v>
      </c>
      <c r="G59" s="50">
        <f t="shared" si="13"/>
        <v>36</v>
      </c>
      <c r="H59" s="50">
        <v>366</v>
      </c>
      <c r="I59" s="37">
        <f t="shared" si="14"/>
        <v>0</v>
      </c>
      <c r="J59" s="77">
        <f t="shared" si="15"/>
        <v>0</v>
      </c>
      <c r="K59" s="99" t="s">
        <v>15</v>
      </c>
      <c r="L59" s="100"/>
      <c r="M59" s="100"/>
      <c r="N59" s="101"/>
    </row>
    <row r="60" spans="1:14" ht="19.5" customHeight="1">
      <c r="B60" s="42">
        <v>43915</v>
      </c>
      <c r="C60" s="38" t="s">
        <v>4</v>
      </c>
      <c r="D60" s="43"/>
      <c r="E60" s="42">
        <f t="shared" si="12"/>
        <v>43915</v>
      </c>
      <c r="F60" s="42">
        <v>43921</v>
      </c>
      <c r="G60" s="38">
        <f t="shared" si="13"/>
        <v>7</v>
      </c>
      <c r="H60" s="50">
        <v>366</v>
      </c>
      <c r="I60" s="37">
        <f t="shared" si="14"/>
        <v>0</v>
      </c>
      <c r="J60" s="77">
        <f t="shared" si="15"/>
        <v>0</v>
      </c>
      <c r="K60" s="44" t="s">
        <v>11</v>
      </c>
      <c r="L60" s="45" t="s">
        <v>12</v>
      </c>
      <c r="M60" s="45" t="s">
        <v>13</v>
      </c>
      <c r="N60" s="46" t="s">
        <v>14</v>
      </c>
    </row>
    <row r="61" spans="1:14" ht="19.5" customHeight="1" thickBot="1">
      <c r="D61" s="43">
        <f>SUM(D48:D60)</f>
        <v>51476005597</v>
      </c>
      <c r="J61" s="77">
        <f>SUM(J48:J60)</f>
        <v>51476005500</v>
      </c>
      <c r="K61" s="47">
        <f>ROUNDDOWN(J61*1.6/100,0)</f>
        <v>823616088</v>
      </c>
      <c r="L61" s="48">
        <f>ROUNDDOWN(K61*0.15315,0)</f>
        <v>126136803</v>
      </c>
      <c r="M61" s="41">
        <f>ROUNDDOWN(K61*0.05,0)</f>
        <v>41180804</v>
      </c>
      <c r="N61" s="49">
        <f>K61-L61-M61</f>
        <v>656298481</v>
      </c>
    </row>
    <row r="62" spans="1:14" ht="19.5" customHeight="1">
      <c r="A62" s="38" t="s">
        <v>33</v>
      </c>
      <c r="B62" s="42">
        <v>43922</v>
      </c>
      <c r="C62" s="38" t="s">
        <v>5</v>
      </c>
      <c r="D62" s="43">
        <f>D61+N61</f>
        <v>52132304078</v>
      </c>
      <c r="E62" s="42">
        <f t="shared" ref="E62:E74" si="16">B62</f>
        <v>43922</v>
      </c>
      <c r="F62" s="42">
        <v>44286</v>
      </c>
      <c r="G62" s="38">
        <f t="shared" ref="G62:G74" si="17">F62-B62+1</f>
        <v>365</v>
      </c>
      <c r="H62" s="38">
        <v>365</v>
      </c>
      <c r="I62" s="37">
        <f t="shared" ref="I62:I74" si="18">ROUNDDOWN(D62/100,0)*100</f>
        <v>52132304000</v>
      </c>
      <c r="J62" s="77">
        <f t="shared" ref="J62:J74" si="19">ROUNDDOWN(I62*G62/H62,0)</f>
        <v>52132304000</v>
      </c>
      <c r="L62" s="38" t="s">
        <v>16</v>
      </c>
    </row>
    <row r="63" spans="1:14" ht="19.5" customHeight="1">
      <c r="B63" s="42">
        <v>43946</v>
      </c>
      <c r="C63" s="38" t="s">
        <v>4</v>
      </c>
      <c r="D63" s="43">
        <v>0</v>
      </c>
      <c r="E63" s="42">
        <f t="shared" si="16"/>
        <v>43946</v>
      </c>
      <c r="F63" s="42">
        <v>44286</v>
      </c>
      <c r="G63" s="38">
        <f t="shared" si="17"/>
        <v>341</v>
      </c>
      <c r="H63" s="38">
        <v>365</v>
      </c>
      <c r="I63" s="37">
        <f t="shared" si="18"/>
        <v>0</v>
      </c>
      <c r="J63" s="77">
        <f t="shared" si="19"/>
        <v>0</v>
      </c>
    </row>
    <row r="64" spans="1:14" ht="19.5" customHeight="1">
      <c r="B64" s="42">
        <v>43976</v>
      </c>
      <c r="C64" s="38" t="s">
        <v>4</v>
      </c>
      <c r="D64" s="43">
        <v>0</v>
      </c>
      <c r="E64" s="42">
        <f t="shared" si="16"/>
        <v>43976</v>
      </c>
      <c r="F64" s="42">
        <v>44286</v>
      </c>
      <c r="G64" s="38">
        <f t="shared" si="17"/>
        <v>311</v>
      </c>
      <c r="H64" s="38">
        <v>365</v>
      </c>
      <c r="I64" s="37">
        <f t="shared" si="18"/>
        <v>0</v>
      </c>
      <c r="J64" s="77">
        <f t="shared" si="19"/>
        <v>0</v>
      </c>
    </row>
    <row r="65" spans="1:14" ht="19.5" customHeight="1">
      <c r="B65" s="42">
        <v>44007</v>
      </c>
      <c r="C65" s="38" t="s">
        <v>4</v>
      </c>
      <c r="D65" s="43">
        <v>0</v>
      </c>
      <c r="E65" s="42">
        <f t="shared" si="16"/>
        <v>44007</v>
      </c>
      <c r="F65" s="42">
        <v>44286</v>
      </c>
      <c r="G65" s="38">
        <f t="shared" si="17"/>
        <v>280</v>
      </c>
      <c r="H65" s="38">
        <v>365</v>
      </c>
      <c r="I65" s="37">
        <f t="shared" si="18"/>
        <v>0</v>
      </c>
      <c r="J65" s="77">
        <f t="shared" si="19"/>
        <v>0</v>
      </c>
    </row>
    <row r="66" spans="1:14" ht="19.5" customHeight="1">
      <c r="B66" s="42">
        <v>44037</v>
      </c>
      <c r="C66" s="38" t="s">
        <v>4</v>
      </c>
      <c r="D66" s="43"/>
      <c r="E66" s="42">
        <f t="shared" si="16"/>
        <v>44037</v>
      </c>
      <c r="F66" s="42">
        <v>44286</v>
      </c>
      <c r="G66" s="38">
        <f t="shared" si="17"/>
        <v>250</v>
      </c>
      <c r="H66" s="38">
        <v>365</v>
      </c>
      <c r="I66" s="37">
        <f t="shared" si="18"/>
        <v>0</v>
      </c>
      <c r="J66" s="77">
        <f t="shared" si="19"/>
        <v>0</v>
      </c>
    </row>
    <row r="67" spans="1:14" ht="19.5" customHeight="1">
      <c r="B67" s="42">
        <v>44068</v>
      </c>
      <c r="C67" s="38" t="s">
        <v>4</v>
      </c>
      <c r="D67" s="43"/>
      <c r="E67" s="42">
        <f t="shared" si="16"/>
        <v>44068</v>
      </c>
      <c r="F67" s="42">
        <v>44286</v>
      </c>
      <c r="G67" s="38">
        <f t="shared" si="17"/>
        <v>219</v>
      </c>
      <c r="H67" s="38">
        <v>365</v>
      </c>
      <c r="I67" s="37">
        <f t="shared" si="18"/>
        <v>0</v>
      </c>
      <c r="J67" s="77">
        <f t="shared" si="19"/>
        <v>0</v>
      </c>
    </row>
    <row r="68" spans="1:14" ht="19.5" customHeight="1">
      <c r="B68" s="42">
        <v>44099</v>
      </c>
      <c r="C68" s="38" t="s">
        <v>4</v>
      </c>
      <c r="D68" s="43">
        <v>0</v>
      </c>
      <c r="E68" s="42">
        <f t="shared" si="16"/>
        <v>44099</v>
      </c>
      <c r="F68" s="42">
        <v>44286</v>
      </c>
      <c r="G68" s="38">
        <f t="shared" si="17"/>
        <v>188</v>
      </c>
      <c r="H68" s="38">
        <v>365</v>
      </c>
      <c r="I68" s="37">
        <f t="shared" si="18"/>
        <v>0</v>
      </c>
      <c r="J68" s="77">
        <f t="shared" si="19"/>
        <v>0</v>
      </c>
    </row>
    <row r="69" spans="1:14" ht="19.5" customHeight="1">
      <c r="B69" s="42">
        <v>44129</v>
      </c>
      <c r="C69" s="38" t="s">
        <v>4</v>
      </c>
      <c r="D69" s="43">
        <v>0</v>
      </c>
      <c r="E69" s="42">
        <f t="shared" si="16"/>
        <v>44129</v>
      </c>
      <c r="F69" s="42">
        <v>44286</v>
      </c>
      <c r="G69" s="38">
        <f t="shared" si="17"/>
        <v>158</v>
      </c>
      <c r="H69" s="38">
        <v>365</v>
      </c>
      <c r="I69" s="37">
        <f t="shared" si="18"/>
        <v>0</v>
      </c>
      <c r="J69" s="77">
        <f t="shared" si="19"/>
        <v>0</v>
      </c>
    </row>
    <row r="70" spans="1:14" ht="19.5" customHeight="1">
      <c r="B70" s="42">
        <v>44160</v>
      </c>
      <c r="C70" s="38" t="s">
        <v>4</v>
      </c>
      <c r="D70" s="43">
        <v>0</v>
      </c>
      <c r="E70" s="42">
        <f t="shared" si="16"/>
        <v>44160</v>
      </c>
      <c r="F70" s="42">
        <v>44286</v>
      </c>
      <c r="G70" s="38">
        <f t="shared" si="17"/>
        <v>127</v>
      </c>
      <c r="H70" s="38">
        <v>365</v>
      </c>
      <c r="I70" s="37">
        <f t="shared" si="18"/>
        <v>0</v>
      </c>
      <c r="J70" s="77">
        <f t="shared" si="19"/>
        <v>0</v>
      </c>
    </row>
    <row r="71" spans="1:14" ht="19.5" customHeight="1">
      <c r="B71" s="42">
        <v>44190</v>
      </c>
      <c r="C71" s="38" t="s">
        <v>4</v>
      </c>
      <c r="D71" s="43">
        <v>0</v>
      </c>
      <c r="E71" s="42">
        <f t="shared" si="16"/>
        <v>44190</v>
      </c>
      <c r="F71" s="42">
        <v>44286</v>
      </c>
      <c r="G71" s="38">
        <f t="shared" si="17"/>
        <v>97</v>
      </c>
      <c r="H71" s="38">
        <v>365</v>
      </c>
      <c r="I71" s="37">
        <f t="shared" si="18"/>
        <v>0</v>
      </c>
      <c r="J71" s="77">
        <f t="shared" si="19"/>
        <v>0</v>
      </c>
    </row>
    <row r="72" spans="1:14" ht="19.5" customHeight="1" thickBot="1">
      <c r="B72" s="42">
        <v>44221</v>
      </c>
      <c r="C72" s="38" t="s">
        <v>4</v>
      </c>
      <c r="D72" s="43">
        <v>0</v>
      </c>
      <c r="E72" s="42">
        <f t="shared" si="16"/>
        <v>44221</v>
      </c>
      <c r="F72" s="42">
        <v>44286</v>
      </c>
      <c r="G72" s="38">
        <f t="shared" si="17"/>
        <v>66</v>
      </c>
      <c r="H72" s="38">
        <v>365</v>
      </c>
      <c r="I72" s="37">
        <f t="shared" si="18"/>
        <v>0</v>
      </c>
      <c r="J72" s="77">
        <f t="shared" si="19"/>
        <v>0</v>
      </c>
    </row>
    <row r="73" spans="1:14" ht="19.5" customHeight="1" thickBot="1">
      <c r="B73" s="42">
        <v>44252</v>
      </c>
      <c r="C73" s="38" t="s">
        <v>4</v>
      </c>
      <c r="D73" s="43">
        <v>0</v>
      </c>
      <c r="E73" s="42">
        <f t="shared" si="16"/>
        <v>44252</v>
      </c>
      <c r="F73" s="42">
        <v>44286</v>
      </c>
      <c r="G73" s="38">
        <f t="shared" si="17"/>
        <v>35</v>
      </c>
      <c r="H73" s="38">
        <v>365</v>
      </c>
      <c r="I73" s="37">
        <f t="shared" si="18"/>
        <v>0</v>
      </c>
      <c r="J73" s="77">
        <f t="shared" si="19"/>
        <v>0</v>
      </c>
      <c r="K73" s="99" t="s">
        <v>15</v>
      </c>
      <c r="L73" s="100"/>
      <c r="M73" s="100"/>
      <c r="N73" s="101"/>
    </row>
    <row r="74" spans="1:14" ht="19.5" customHeight="1">
      <c r="B74" s="42">
        <v>44280</v>
      </c>
      <c r="C74" s="38" t="s">
        <v>4</v>
      </c>
      <c r="D74" s="43">
        <v>0</v>
      </c>
      <c r="E74" s="42">
        <f t="shared" si="16"/>
        <v>44280</v>
      </c>
      <c r="F74" s="42">
        <v>44286</v>
      </c>
      <c r="G74" s="38">
        <f t="shared" si="17"/>
        <v>7</v>
      </c>
      <c r="H74" s="38">
        <v>365</v>
      </c>
      <c r="I74" s="37">
        <f t="shared" si="18"/>
        <v>0</v>
      </c>
      <c r="J74" s="77">
        <f t="shared" si="19"/>
        <v>0</v>
      </c>
      <c r="K74" s="44" t="s">
        <v>11</v>
      </c>
      <c r="L74" s="45" t="s">
        <v>12</v>
      </c>
      <c r="M74" s="45" t="s">
        <v>13</v>
      </c>
      <c r="N74" s="46" t="s">
        <v>14</v>
      </c>
    </row>
    <row r="75" spans="1:14" ht="19.5" customHeight="1" thickBot="1">
      <c r="D75" s="43">
        <f>SUM(D62:D74)</f>
        <v>52132304078</v>
      </c>
      <c r="J75" s="77">
        <f>SUM(J62:J74)</f>
        <v>52132304000</v>
      </c>
      <c r="K75" s="47">
        <f>ROUNDDOWN(J75*1.6/100,0)</f>
        <v>834116864</v>
      </c>
      <c r="L75" s="48">
        <f>ROUNDDOWN(K75*0.15315,0)</f>
        <v>127744997</v>
      </c>
      <c r="M75" s="41">
        <f>ROUNDDOWN(K75*0.05,0)</f>
        <v>41705843</v>
      </c>
      <c r="N75" s="49">
        <f>K75-L75-M75</f>
        <v>664666024</v>
      </c>
    </row>
    <row r="76" spans="1:14" ht="19.5" customHeight="1">
      <c r="A76" s="38" t="s">
        <v>34</v>
      </c>
      <c r="B76" s="42">
        <v>44287</v>
      </c>
      <c r="C76" s="38" t="s">
        <v>5</v>
      </c>
      <c r="D76" s="51">
        <f>D75+N75</f>
        <v>52796970102</v>
      </c>
      <c r="E76" s="42">
        <f t="shared" ref="E76:E88" si="20">B76</f>
        <v>44287</v>
      </c>
      <c r="F76" s="42">
        <v>44651</v>
      </c>
      <c r="G76" s="38">
        <f t="shared" ref="G76:G88" si="21">F76-B76+1</f>
        <v>365</v>
      </c>
      <c r="H76" s="38">
        <v>365</v>
      </c>
      <c r="I76" s="37">
        <f t="shared" ref="I76:I88" si="22">ROUNDDOWN(D76/100,0)*100</f>
        <v>52796970100</v>
      </c>
      <c r="J76" s="77">
        <f t="shared" ref="J76:J88" si="23">ROUNDDOWN(I76*G76/H76,0)</f>
        <v>52796970100</v>
      </c>
      <c r="L76" s="38" t="s">
        <v>16</v>
      </c>
    </row>
    <row r="77" spans="1:14" ht="19.5" customHeight="1">
      <c r="B77" s="42">
        <v>44311</v>
      </c>
      <c r="C77" s="38" t="s">
        <v>4</v>
      </c>
      <c r="D77" s="43">
        <v>0</v>
      </c>
      <c r="E77" s="42">
        <f t="shared" si="20"/>
        <v>44311</v>
      </c>
      <c r="F77" s="42">
        <v>44651</v>
      </c>
      <c r="G77" s="38">
        <f t="shared" si="21"/>
        <v>341</v>
      </c>
      <c r="H77" s="38">
        <v>365</v>
      </c>
      <c r="I77" s="37">
        <f t="shared" si="22"/>
        <v>0</v>
      </c>
      <c r="J77" s="77">
        <f t="shared" si="23"/>
        <v>0</v>
      </c>
    </row>
    <row r="78" spans="1:14" ht="19.5" customHeight="1">
      <c r="B78" s="42">
        <v>44341</v>
      </c>
      <c r="C78" s="38" t="s">
        <v>4</v>
      </c>
      <c r="D78" s="43">
        <v>0</v>
      </c>
      <c r="E78" s="42">
        <f t="shared" si="20"/>
        <v>44341</v>
      </c>
      <c r="F78" s="42">
        <v>44651</v>
      </c>
      <c r="G78" s="38">
        <f t="shared" si="21"/>
        <v>311</v>
      </c>
      <c r="H78" s="38">
        <v>365</v>
      </c>
      <c r="I78" s="37">
        <f t="shared" si="22"/>
        <v>0</v>
      </c>
      <c r="J78" s="77">
        <f t="shared" si="23"/>
        <v>0</v>
      </c>
    </row>
    <row r="79" spans="1:14" ht="19.5" customHeight="1">
      <c r="B79" s="42">
        <v>44372</v>
      </c>
      <c r="C79" s="38" t="s">
        <v>4</v>
      </c>
      <c r="D79" s="43">
        <v>0</v>
      </c>
      <c r="E79" s="42">
        <f t="shared" si="20"/>
        <v>44372</v>
      </c>
      <c r="F79" s="42">
        <v>44651</v>
      </c>
      <c r="G79" s="38">
        <f t="shared" si="21"/>
        <v>280</v>
      </c>
      <c r="H79" s="38">
        <v>365</v>
      </c>
      <c r="I79" s="37">
        <f t="shared" si="22"/>
        <v>0</v>
      </c>
      <c r="J79" s="77">
        <f t="shared" si="23"/>
        <v>0</v>
      </c>
    </row>
    <row r="80" spans="1:14" ht="19.5" customHeight="1">
      <c r="B80" s="42">
        <v>44402</v>
      </c>
      <c r="C80" s="38" t="s">
        <v>4</v>
      </c>
      <c r="D80" s="43">
        <v>0</v>
      </c>
      <c r="E80" s="42">
        <f t="shared" si="20"/>
        <v>44402</v>
      </c>
      <c r="F80" s="42">
        <v>44651</v>
      </c>
      <c r="G80" s="38">
        <f t="shared" si="21"/>
        <v>250</v>
      </c>
      <c r="H80" s="38">
        <v>365</v>
      </c>
      <c r="I80" s="37">
        <f t="shared" si="22"/>
        <v>0</v>
      </c>
      <c r="J80" s="77">
        <f t="shared" si="23"/>
        <v>0</v>
      </c>
    </row>
    <row r="81" spans="1:14" ht="19.5" customHeight="1">
      <c r="B81" s="42">
        <v>44433</v>
      </c>
      <c r="C81" s="38" t="s">
        <v>4</v>
      </c>
      <c r="D81" s="43">
        <v>0</v>
      </c>
      <c r="E81" s="42">
        <f t="shared" si="20"/>
        <v>44433</v>
      </c>
      <c r="F81" s="42">
        <v>44651</v>
      </c>
      <c r="G81" s="38">
        <f t="shared" si="21"/>
        <v>219</v>
      </c>
      <c r="H81" s="38">
        <v>365</v>
      </c>
      <c r="I81" s="37">
        <f t="shared" si="22"/>
        <v>0</v>
      </c>
      <c r="J81" s="77">
        <f t="shared" si="23"/>
        <v>0</v>
      </c>
    </row>
    <row r="82" spans="1:14" ht="19.5" customHeight="1">
      <c r="B82" s="42">
        <v>44464</v>
      </c>
      <c r="C82" s="38" t="s">
        <v>4</v>
      </c>
      <c r="D82" s="43">
        <v>0</v>
      </c>
      <c r="E82" s="42">
        <f t="shared" si="20"/>
        <v>44464</v>
      </c>
      <c r="F82" s="42">
        <v>44651</v>
      </c>
      <c r="G82" s="38">
        <f t="shared" si="21"/>
        <v>188</v>
      </c>
      <c r="H82" s="38">
        <v>365</v>
      </c>
      <c r="I82" s="37">
        <f t="shared" si="22"/>
        <v>0</v>
      </c>
      <c r="J82" s="77">
        <f t="shared" si="23"/>
        <v>0</v>
      </c>
    </row>
    <row r="83" spans="1:14" ht="19.5" customHeight="1">
      <c r="B83" s="42">
        <v>44494</v>
      </c>
      <c r="C83" s="38" t="s">
        <v>4</v>
      </c>
      <c r="D83" s="43">
        <v>0</v>
      </c>
      <c r="E83" s="42">
        <f t="shared" si="20"/>
        <v>44494</v>
      </c>
      <c r="F83" s="42">
        <v>44651</v>
      </c>
      <c r="G83" s="38">
        <f t="shared" si="21"/>
        <v>158</v>
      </c>
      <c r="H83" s="38">
        <v>365</v>
      </c>
      <c r="I83" s="37">
        <f t="shared" si="22"/>
        <v>0</v>
      </c>
      <c r="J83" s="77">
        <f t="shared" si="23"/>
        <v>0</v>
      </c>
    </row>
    <row r="84" spans="1:14" ht="19.5" customHeight="1">
      <c r="B84" s="42">
        <v>44525</v>
      </c>
      <c r="C84" s="38" t="s">
        <v>4</v>
      </c>
      <c r="D84" s="43">
        <v>0</v>
      </c>
      <c r="E84" s="42">
        <f t="shared" si="20"/>
        <v>44525</v>
      </c>
      <c r="F84" s="42">
        <v>44651</v>
      </c>
      <c r="G84" s="38">
        <f t="shared" si="21"/>
        <v>127</v>
      </c>
      <c r="H84" s="38">
        <v>365</v>
      </c>
      <c r="I84" s="37">
        <f t="shared" si="22"/>
        <v>0</v>
      </c>
      <c r="J84" s="77">
        <f t="shared" si="23"/>
        <v>0</v>
      </c>
    </row>
    <row r="85" spans="1:14" ht="19.5" customHeight="1">
      <c r="B85" s="42">
        <v>44555</v>
      </c>
      <c r="C85" s="38" t="s">
        <v>4</v>
      </c>
      <c r="D85" s="43">
        <v>0</v>
      </c>
      <c r="E85" s="42">
        <f t="shared" si="20"/>
        <v>44555</v>
      </c>
      <c r="F85" s="42">
        <v>44651</v>
      </c>
      <c r="G85" s="38">
        <f t="shared" si="21"/>
        <v>97</v>
      </c>
      <c r="H85" s="38">
        <v>365</v>
      </c>
      <c r="I85" s="37">
        <f t="shared" si="22"/>
        <v>0</v>
      </c>
      <c r="J85" s="77">
        <f t="shared" si="23"/>
        <v>0</v>
      </c>
    </row>
    <row r="86" spans="1:14" ht="19.5" customHeight="1" thickBot="1">
      <c r="B86" s="42">
        <v>44586</v>
      </c>
      <c r="C86" s="38" t="s">
        <v>4</v>
      </c>
      <c r="D86" s="43">
        <v>0</v>
      </c>
      <c r="E86" s="42">
        <f t="shared" si="20"/>
        <v>44586</v>
      </c>
      <c r="F86" s="42">
        <v>44651</v>
      </c>
      <c r="G86" s="38">
        <f t="shared" si="21"/>
        <v>66</v>
      </c>
      <c r="H86" s="38">
        <v>365</v>
      </c>
      <c r="I86" s="37">
        <f t="shared" si="22"/>
        <v>0</v>
      </c>
      <c r="J86" s="77">
        <f t="shared" si="23"/>
        <v>0</v>
      </c>
    </row>
    <row r="87" spans="1:14" ht="19.5" customHeight="1" thickBot="1">
      <c r="B87" s="42">
        <v>44617</v>
      </c>
      <c r="C87" s="38" t="s">
        <v>4</v>
      </c>
      <c r="D87" s="43">
        <v>0</v>
      </c>
      <c r="E87" s="42">
        <f t="shared" si="20"/>
        <v>44617</v>
      </c>
      <c r="F87" s="42">
        <v>44651</v>
      </c>
      <c r="G87" s="38">
        <f t="shared" si="21"/>
        <v>35</v>
      </c>
      <c r="H87" s="38">
        <v>365</v>
      </c>
      <c r="I87" s="37">
        <f t="shared" si="22"/>
        <v>0</v>
      </c>
      <c r="J87" s="77">
        <f t="shared" si="23"/>
        <v>0</v>
      </c>
      <c r="K87" s="99" t="s">
        <v>15</v>
      </c>
      <c r="L87" s="100"/>
      <c r="M87" s="100"/>
      <c r="N87" s="101"/>
    </row>
    <row r="88" spans="1:14" ht="19.5" customHeight="1">
      <c r="B88" s="42">
        <v>44645</v>
      </c>
      <c r="C88" s="38" t="s">
        <v>4</v>
      </c>
      <c r="D88" s="43">
        <v>0</v>
      </c>
      <c r="E88" s="42">
        <f t="shared" si="20"/>
        <v>44645</v>
      </c>
      <c r="F88" s="42">
        <v>44651</v>
      </c>
      <c r="G88" s="38">
        <f t="shared" si="21"/>
        <v>7</v>
      </c>
      <c r="H88" s="38">
        <v>365</v>
      </c>
      <c r="I88" s="37">
        <f t="shared" si="22"/>
        <v>0</v>
      </c>
      <c r="J88" s="77">
        <f t="shared" si="23"/>
        <v>0</v>
      </c>
      <c r="K88" s="44" t="s">
        <v>11</v>
      </c>
      <c r="L88" s="45" t="s">
        <v>12</v>
      </c>
      <c r="M88" s="45" t="s">
        <v>13</v>
      </c>
      <c r="N88" s="46" t="s">
        <v>14</v>
      </c>
    </row>
    <row r="89" spans="1:14" ht="19.5" customHeight="1" thickBot="1">
      <c r="D89" s="43">
        <f>SUM(D76:D88)</f>
        <v>52796970102</v>
      </c>
      <c r="J89" s="77">
        <f>SUM(J76:J88)</f>
        <v>52796970100</v>
      </c>
      <c r="K89" s="47">
        <f>ROUNDDOWN(J89*1.6/100,0)</f>
        <v>844751521</v>
      </c>
      <c r="L89" s="48">
        <f>ROUNDDOWN(K89*0.15315,0)</f>
        <v>129373695</v>
      </c>
      <c r="M89" s="41">
        <f>ROUNDDOWN(K89*0.05,0)</f>
        <v>42237576</v>
      </c>
      <c r="N89" s="49">
        <f>K89-L89-M89</f>
        <v>673140250</v>
      </c>
    </row>
    <row r="90" spans="1:14" ht="19.5" customHeight="1">
      <c r="A90" s="38" t="s">
        <v>35</v>
      </c>
      <c r="B90" s="42">
        <v>44652</v>
      </c>
      <c r="C90" s="38" t="s">
        <v>5</v>
      </c>
      <c r="D90" s="51">
        <f>D89+N89</f>
        <v>53470110352</v>
      </c>
      <c r="E90" s="42">
        <f t="shared" ref="E90:E102" si="24">B90</f>
        <v>44652</v>
      </c>
      <c r="F90" s="42">
        <v>45016</v>
      </c>
      <c r="G90" s="38">
        <f t="shared" ref="G90:G102" si="25">F90-B90+1</f>
        <v>365</v>
      </c>
      <c r="H90" s="38">
        <v>365</v>
      </c>
      <c r="I90" s="37">
        <f t="shared" ref="I90:I102" si="26">ROUNDDOWN(D90/100,0)*100</f>
        <v>53470110300</v>
      </c>
      <c r="J90" s="79">
        <f t="shared" ref="J90:J102" si="27">ROUNDDOWN(I90*G90/H90,0)</f>
        <v>53470110300</v>
      </c>
      <c r="L90" s="38" t="s">
        <v>16</v>
      </c>
    </row>
    <row r="91" spans="1:14" ht="19.5" customHeight="1">
      <c r="B91" s="42">
        <v>44676</v>
      </c>
      <c r="C91" s="38" t="s">
        <v>4</v>
      </c>
      <c r="D91" s="43">
        <v>0</v>
      </c>
      <c r="E91" s="42">
        <f t="shared" si="24"/>
        <v>44676</v>
      </c>
      <c r="F91" s="42">
        <v>45016</v>
      </c>
      <c r="G91" s="38">
        <f t="shared" si="25"/>
        <v>341</v>
      </c>
      <c r="H91" s="38">
        <v>365</v>
      </c>
      <c r="I91" s="37">
        <f t="shared" si="26"/>
        <v>0</v>
      </c>
      <c r="J91" s="79">
        <f t="shared" si="27"/>
        <v>0</v>
      </c>
    </row>
    <row r="92" spans="1:14" ht="19.5" customHeight="1">
      <c r="B92" s="42">
        <v>44706</v>
      </c>
      <c r="C92" s="38" t="s">
        <v>4</v>
      </c>
      <c r="D92" s="43">
        <v>0</v>
      </c>
      <c r="E92" s="42">
        <f t="shared" si="24"/>
        <v>44706</v>
      </c>
      <c r="F92" s="42">
        <v>45016</v>
      </c>
      <c r="G92" s="38">
        <f t="shared" si="25"/>
        <v>311</v>
      </c>
      <c r="H92" s="38">
        <v>365</v>
      </c>
      <c r="I92" s="37">
        <f t="shared" si="26"/>
        <v>0</v>
      </c>
      <c r="J92" s="79">
        <f t="shared" si="27"/>
        <v>0</v>
      </c>
    </row>
    <row r="93" spans="1:14" ht="19.5" customHeight="1">
      <c r="B93" s="42">
        <v>44737</v>
      </c>
      <c r="C93" s="38" t="s">
        <v>4</v>
      </c>
      <c r="D93" s="43">
        <v>0</v>
      </c>
      <c r="E93" s="42">
        <f t="shared" si="24"/>
        <v>44737</v>
      </c>
      <c r="F93" s="42">
        <v>45016</v>
      </c>
      <c r="G93" s="38">
        <f t="shared" si="25"/>
        <v>280</v>
      </c>
      <c r="H93" s="38">
        <v>365</v>
      </c>
      <c r="I93" s="37">
        <f t="shared" si="26"/>
        <v>0</v>
      </c>
      <c r="J93" s="79">
        <f t="shared" si="27"/>
        <v>0</v>
      </c>
    </row>
    <row r="94" spans="1:14" ht="19.5" customHeight="1">
      <c r="B94" s="42">
        <v>44767</v>
      </c>
      <c r="C94" s="38" t="s">
        <v>4</v>
      </c>
      <c r="D94" s="43">
        <v>0</v>
      </c>
      <c r="E94" s="42">
        <f t="shared" si="24"/>
        <v>44767</v>
      </c>
      <c r="F94" s="42">
        <v>45016</v>
      </c>
      <c r="G94" s="38">
        <f t="shared" si="25"/>
        <v>250</v>
      </c>
      <c r="H94" s="38">
        <v>365</v>
      </c>
      <c r="I94" s="37">
        <f t="shared" si="26"/>
        <v>0</v>
      </c>
      <c r="J94" s="79">
        <f t="shared" si="27"/>
        <v>0</v>
      </c>
    </row>
    <row r="95" spans="1:14" ht="19.5" customHeight="1">
      <c r="B95" s="42">
        <v>44798</v>
      </c>
      <c r="C95" s="38" t="s">
        <v>4</v>
      </c>
      <c r="D95" s="43">
        <v>0</v>
      </c>
      <c r="E95" s="42">
        <f t="shared" si="24"/>
        <v>44798</v>
      </c>
      <c r="F95" s="42">
        <v>45016</v>
      </c>
      <c r="G95" s="38">
        <f t="shared" si="25"/>
        <v>219</v>
      </c>
      <c r="H95" s="38">
        <v>365</v>
      </c>
      <c r="I95" s="37">
        <f t="shared" si="26"/>
        <v>0</v>
      </c>
      <c r="J95" s="79">
        <f t="shared" si="27"/>
        <v>0</v>
      </c>
    </row>
    <row r="96" spans="1:14" ht="19.5" customHeight="1">
      <c r="B96" s="42">
        <v>44829</v>
      </c>
      <c r="C96" s="38" t="s">
        <v>4</v>
      </c>
      <c r="D96" s="43">
        <v>0</v>
      </c>
      <c r="E96" s="42">
        <f t="shared" si="24"/>
        <v>44829</v>
      </c>
      <c r="F96" s="42">
        <v>45016</v>
      </c>
      <c r="G96" s="38">
        <f t="shared" si="25"/>
        <v>188</v>
      </c>
      <c r="H96" s="38">
        <v>365</v>
      </c>
      <c r="I96" s="37">
        <f t="shared" si="26"/>
        <v>0</v>
      </c>
      <c r="J96" s="79">
        <f t="shared" si="27"/>
        <v>0</v>
      </c>
    </row>
    <row r="97" spans="2:14" ht="19.5" customHeight="1">
      <c r="B97" s="42">
        <v>44859</v>
      </c>
      <c r="C97" s="38" t="s">
        <v>4</v>
      </c>
      <c r="D97" s="43">
        <v>0</v>
      </c>
      <c r="E97" s="42">
        <f t="shared" si="24"/>
        <v>44859</v>
      </c>
      <c r="F97" s="42">
        <v>45016</v>
      </c>
      <c r="G97" s="38">
        <f t="shared" si="25"/>
        <v>158</v>
      </c>
      <c r="H97" s="38">
        <v>365</v>
      </c>
      <c r="I97" s="37">
        <f t="shared" si="26"/>
        <v>0</v>
      </c>
      <c r="J97" s="79">
        <f t="shared" si="27"/>
        <v>0</v>
      </c>
    </row>
    <row r="98" spans="2:14" ht="19.5" customHeight="1">
      <c r="B98" s="42">
        <v>44890</v>
      </c>
      <c r="C98" s="38" t="s">
        <v>4</v>
      </c>
      <c r="D98" s="43">
        <v>0</v>
      </c>
      <c r="E98" s="42">
        <f t="shared" si="24"/>
        <v>44890</v>
      </c>
      <c r="F98" s="42">
        <v>45016</v>
      </c>
      <c r="G98" s="38">
        <f t="shared" si="25"/>
        <v>127</v>
      </c>
      <c r="H98" s="38">
        <v>365</v>
      </c>
      <c r="I98" s="37">
        <f t="shared" si="26"/>
        <v>0</v>
      </c>
      <c r="J98" s="79">
        <f t="shared" si="27"/>
        <v>0</v>
      </c>
    </row>
    <row r="99" spans="2:14" ht="19.5" customHeight="1">
      <c r="B99" s="42">
        <v>44920</v>
      </c>
      <c r="C99" s="38" t="s">
        <v>4</v>
      </c>
      <c r="D99" s="43">
        <v>0</v>
      </c>
      <c r="E99" s="42">
        <f t="shared" si="24"/>
        <v>44920</v>
      </c>
      <c r="F99" s="42">
        <v>45016</v>
      </c>
      <c r="G99" s="38">
        <f t="shared" si="25"/>
        <v>97</v>
      </c>
      <c r="H99" s="38">
        <v>365</v>
      </c>
      <c r="I99" s="37">
        <f t="shared" si="26"/>
        <v>0</v>
      </c>
      <c r="J99" s="79">
        <f t="shared" si="27"/>
        <v>0</v>
      </c>
    </row>
    <row r="100" spans="2:14" ht="19.5" customHeight="1" thickBot="1">
      <c r="B100" s="42">
        <v>44951</v>
      </c>
      <c r="C100" s="38" t="s">
        <v>4</v>
      </c>
      <c r="D100" s="43">
        <v>0</v>
      </c>
      <c r="E100" s="42">
        <f t="shared" si="24"/>
        <v>44951</v>
      </c>
      <c r="F100" s="42">
        <v>45016</v>
      </c>
      <c r="G100" s="38">
        <f t="shared" si="25"/>
        <v>66</v>
      </c>
      <c r="H100" s="38">
        <v>365</v>
      </c>
      <c r="I100" s="37">
        <f t="shared" si="26"/>
        <v>0</v>
      </c>
      <c r="J100" s="79">
        <f t="shared" si="27"/>
        <v>0</v>
      </c>
    </row>
    <row r="101" spans="2:14" ht="19.5" customHeight="1" thickBot="1">
      <c r="B101" s="42">
        <v>44982</v>
      </c>
      <c r="C101" s="38" t="s">
        <v>4</v>
      </c>
      <c r="D101" s="43">
        <v>0</v>
      </c>
      <c r="E101" s="42">
        <f t="shared" si="24"/>
        <v>44982</v>
      </c>
      <c r="F101" s="42">
        <v>45016</v>
      </c>
      <c r="G101" s="38">
        <f t="shared" si="25"/>
        <v>35</v>
      </c>
      <c r="H101" s="38">
        <v>365</v>
      </c>
      <c r="I101" s="37">
        <f t="shared" si="26"/>
        <v>0</v>
      </c>
      <c r="J101" s="79">
        <f t="shared" si="27"/>
        <v>0</v>
      </c>
      <c r="K101" s="99" t="s">
        <v>15</v>
      </c>
      <c r="L101" s="100"/>
      <c r="M101" s="100"/>
      <c r="N101" s="101"/>
    </row>
    <row r="102" spans="2:14" ht="19.5" customHeight="1">
      <c r="B102" s="42">
        <v>45010</v>
      </c>
      <c r="C102" s="38" t="s">
        <v>4</v>
      </c>
      <c r="D102" s="43">
        <v>0</v>
      </c>
      <c r="E102" s="42">
        <f t="shared" si="24"/>
        <v>45010</v>
      </c>
      <c r="F102" s="42">
        <v>45016</v>
      </c>
      <c r="G102" s="38">
        <f t="shared" si="25"/>
        <v>7</v>
      </c>
      <c r="H102" s="38">
        <v>365</v>
      </c>
      <c r="I102" s="37">
        <f t="shared" si="26"/>
        <v>0</v>
      </c>
      <c r="J102" s="79">
        <f t="shared" si="27"/>
        <v>0</v>
      </c>
      <c r="K102" s="44" t="s">
        <v>11</v>
      </c>
      <c r="L102" s="45" t="s">
        <v>12</v>
      </c>
      <c r="M102" s="45" t="s">
        <v>13</v>
      </c>
      <c r="N102" s="46" t="s">
        <v>14</v>
      </c>
    </row>
    <row r="103" spans="2:14" ht="19.5" customHeight="1" thickBot="1">
      <c r="D103" s="43">
        <f>SUM(D90:D102)</f>
        <v>53470110352</v>
      </c>
      <c r="J103" s="79">
        <f>SUM(J90:J102)</f>
        <v>53470110300</v>
      </c>
      <c r="K103" s="47">
        <f>ROUNDDOWN(J103*1.6/100,0)</f>
        <v>855521764</v>
      </c>
      <c r="L103" s="48">
        <f>ROUNDDOWN(K103*0.15315,0)</f>
        <v>131023158</v>
      </c>
      <c r="M103" s="41">
        <f>ROUNDDOWN(K103*0.05,0)</f>
        <v>42776088</v>
      </c>
      <c r="N103" s="49">
        <f>K103-L103-M103</f>
        <v>681722518</v>
      </c>
    </row>
    <row r="104" spans="2:14" ht="19.5" customHeight="1">
      <c r="B104" s="42">
        <v>45017</v>
      </c>
      <c r="C104" s="38" t="s">
        <v>5</v>
      </c>
      <c r="D104" s="43">
        <f>D103+N103</f>
        <v>54151832870</v>
      </c>
      <c r="E104" s="42">
        <f>B104</f>
        <v>45017</v>
      </c>
      <c r="F104" s="42">
        <v>45382</v>
      </c>
      <c r="G104" s="38">
        <f>F104-B104+1</f>
        <v>366</v>
      </c>
      <c r="H104" s="38">
        <v>365</v>
      </c>
      <c r="I104" s="37">
        <f>ROUNDDOWN(D104/100,0)*100</f>
        <v>54151832800</v>
      </c>
      <c r="J104" s="79">
        <f>ROUNDDOWN(I104*G104/H104,0)</f>
        <v>54300193985</v>
      </c>
      <c r="L104" s="38" t="s">
        <v>16</v>
      </c>
    </row>
  </sheetData>
  <mergeCells count="9">
    <mergeCell ref="K73:N73"/>
    <mergeCell ref="K87:N87"/>
    <mergeCell ref="K101:N101"/>
    <mergeCell ref="A1:H1"/>
    <mergeCell ref="K15:N15"/>
    <mergeCell ref="K30:N30"/>
    <mergeCell ref="K45:N45"/>
    <mergeCell ref="K50:N50"/>
    <mergeCell ref="K59:N59"/>
  </mergeCells>
  <phoneticPr fontId="2"/>
  <pageMargins left="0.75" right="0.75" top="1" bottom="1" header="0.51200000000000001" footer="0.51200000000000001"/>
  <pageSetup paperSize="9" scale="55" orientation="landscape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FF00"/>
  </sheetPr>
  <dimension ref="A1:S104"/>
  <sheetViews>
    <sheetView zoomScale="75" workbookViewId="0">
      <selection activeCell="A3" sqref="A3:N33"/>
    </sheetView>
  </sheetViews>
  <sheetFormatPr defaultRowHeight="14.25"/>
  <cols>
    <col min="1" max="1" width="9" style="38"/>
    <col min="2" max="2" width="12.125" style="38" bestFit="1" customWidth="1"/>
    <col min="3" max="3" width="9" style="38"/>
    <col min="4" max="6" width="12.125" style="38" bestFit="1" customWidth="1"/>
    <col min="7" max="7" width="10.625" style="38" bestFit="1" customWidth="1"/>
    <col min="8" max="8" width="9.125" style="38" bestFit="1" customWidth="1"/>
    <col min="9" max="9" width="10.25" style="37" bestFit="1" customWidth="1"/>
    <col min="10" max="10" width="11" style="77" bestFit="1" customWidth="1"/>
    <col min="11" max="11" width="10" style="38" bestFit="1" customWidth="1"/>
    <col min="12" max="12" width="16.75" style="38" bestFit="1" customWidth="1"/>
    <col min="13" max="13" width="8" style="38" bestFit="1" customWidth="1"/>
    <col min="14" max="14" width="10" style="38" bestFit="1" customWidth="1"/>
    <col min="15" max="16384" width="9" style="38"/>
  </cols>
  <sheetData>
    <row r="1" spans="1:19" ht="18" customHeight="1">
      <c r="A1" s="102" t="s">
        <v>36</v>
      </c>
      <c r="B1" s="102"/>
      <c r="C1" s="102"/>
      <c r="D1" s="102"/>
      <c r="E1" s="102"/>
      <c r="F1" s="102"/>
      <c r="G1" s="102"/>
      <c r="H1" s="102"/>
    </row>
    <row r="3" spans="1:19" ht="19.5" customHeight="1" thickBot="1">
      <c r="B3" s="39" t="s">
        <v>1</v>
      </c>
      <c r="C3" s="39" t="s">
        <v>2</v>
      </c>
      <c r="D3" s="40" t="s">
        <v>3</v>
      </c>
      <c r="E3" s="40" t="s">
        <v>6</v>
      </c>
      <c r="F3" s="39" t="s">
        <v>7</v>
      </c>
      <c r="G3" s="39" t="s">
        <v>8</v>
      </c>
      <c r="H3" s="39" t="s">
        <v>9</v>
      </c>
      <c r="I3" s="41" t="s">
        <v>10</v>
      </c>
      <c r="J3" s="78"/>
      <c r="K3" s="39"/>
      <c r="L3" s="39"/>
      <c r="M3" s="39"/>
      <c r="N3" s="39"/>
      <c r="O3" s="39"/>
      <c r="P3" s="39"/>
      <c r="Q3" s="39"/>
      <c r="R3" s="39"/>
      <c r="S3" s="39"/>
    </row>
    <row r="4" spans="1:19" ht="19.5" customHeight="1">
      <c r="A4" s="38" t="s">
        <v>28</v>
      </c>
      <c r="B4" s="42">
        <v>42461</v>
      </c>
      <c r="C4" s="38" t="s">
        <v>5</v>
      </c>
      <c r="D4" s="43">
        <v>5000000</v>
      </c>
      <c r="E4" s="42">
        <f t="shared" ref="E4:E16" si="0">B4</f>
        <v>42461</v>
      </c>
      <c r="F4" s="42">
        <v>42825</v>
      </c>
      <c r="G4" s="38">
        <f t="shared" ref="G4:G16" si="1">F4-B4+1</f>
        <v>365</v>
      </c>
      <c r="H4" s="38">
        <v>365</v>
      </c>
      <c r="I4" s="37">
        <f t="shared" ref="I4:I16" si="2">ROUNDDOWN(D4/100,0)*100</f>
        <v>5000000</v>
      </c>
      <c r="J4" s="77">
        <f t="shared" ref="J4:J16" si="3">ROUNDDOWN(I4*G4/H4,0)</f>
        <v>5000000</v>
      </c>
    </row>
    <row r="5" spans="1:19" ht="19.5" customHeight="1">
      <c r="B5" s="42">
        <v>42485</v>
      </c>
      <c r="C5" s="38" t="s">
        <v>4</v>
      </c>
      <c r="D5" s="43">
        <v>20000</v>
      </c>
      <c r="E5" s="42">
        <f t="shared" si="0"/>
        <v>42485</v>
      </c>
      <c r="F5" s="42">
        <v>42825</v>
      </c>
      <c r="G5" s="38">
        <f t="shared" si="1"/>
        <v>341</v>
      </c>
      <c r="H5" s="38">
        <v>365</v>
      </c>
      <c r="I5" s="37">
        <f t="shared" si="2"/>
        <v>20000</v>
      </c>
      <c r="J5" s="77">
        <f t="shared" si="3"/>
        <v>18684</v>
      </c>
    </row>
    <row r="6" spans="1:19" ht="19.5" customHeight="1">
      <c r="B6" s="42">
        <v>42515</v>
      </c>
      <c r="C6" s="38" t="s">
        <v>4</v>
      </c>
      <c r="D6" s="43">
        <v>20000</v>
      </c>
      <c r="E6" s="42">
        <f t="shared" si="0"/>
        <v>42515</v>
      </c>
      <c r="F6" s="42">
        <v>42825</v>
      </c>
      <c r="G6" s="38">
        <f t="shared" si="1"/>
        <v>311</v>
      </c>
      <c r="H6" s="38">
        <v>365</v>
      </c>
      <c r="I6" s="37">
        <f t="shared" si="2"/>
        <v>20000</v>
      </c>
      <c r="J6" s="77">
        <f t="shared" si="3"/>
        <v>17041</v>
      </c>
    </row>
    <row r="7" spans="1:19" ht="19.5" customHeight="1">
      <c r="B7" s="42">
        <v>42546</v>
      </c>
      <c r="C7" s="38" t="s">
        <v>4</v>
      </c>
      <c r="D7" s="43">
        <v>20000</v>
      </c>
      <c r="E7" s="42">
        <f t="shared" si="0"/>
        <v>42546</v>
      </c>
      <c r="F7" s="42">
        <v>42825</v>
      </c>
      <c r="G7" s="38">
        <f t="shared" si="1"/>
        <v>280</v>
      </c>
      <c r="H7" s="38">
        <v>365</v>
      </c>
      <c r="I7" s="37">
        <f t="shared" si="2"/>
        <v>20000</v>
      </c>
      <c r="J7" s="77">
        <f t="shared" si="3"/>
        <v>15342</v>
      </c>
    </row>
    <row r="8" spans="1:19" ht="19.5" customHeight="1">
      <c r="B8" s="42">
        <v>42576</v>
      </c>
      <c r="C8" s="38" t="s">
        <v>4</v>
      </c>
      <c r="D8" s="43">
        <v>20000</v>
      </c>
      <c r="E8" s="42">
        <f t="shared" si="0"/>
        <v>42576</v>
      </c>
      <c r="F8" s="42">
        <v>42825</v>
      </c>
      <c r="G8" s="38">
        <f t="shared" si="1"/>
        <v>250</v>
      </c>
      <c r="H8" s="38">
        <v>365</v>
      </c>
      <c r="I8" s="37">
        <f t="shared" si="2"/>
        <v>20000</v>
      </c>
      <c r="J8" s="77">
        <f t="shared" si="3"/>
        <v>13698</v>
      </c>
    </row>
    <row r="9" spans="1:19" ht="19.5" customHeight="1">
      <c r="B9" s="42">
        <v>42607</v>
      </c>
      <c r="C9" s="38" t="s">
        <v>4</v>
      </c>
      <c r="D9" s="43">
        <v>20000</v>
      </c>
      <c r="E9" s="42">
        <f t="shared" si="0"/>
        <v>42607</v>
      </c>
      <c r="F9" s="42">
        <v>42825</v>
      </c>
      <c r="G9" s="38">
        <f t="shared" si="1"/>
        <v>219</v>
      </c>
      <c r="H9" s="38">
        <v>365</v>
      </c>
      <c r="I9" s="37">
        <f t="shared" si="2"/>
        <v>20000</v>
      </c>
      <c r="J9" s="77">
        <f t="shared" si="3"/>
        <v>12000</v>
      </c>
    </row>
    <row r="10" spans="1:19" ht="19.5" customHeight="1">
      <c r="B10" s="42">
        <v>42638</v>
      </c>
      <c r="C10" s="38" t="s">
        <v>4</v>
      </c>
      <c r="D10" s="43">
        <v>20000</v>
      </c>
      <c r="E10" s="42">
        <f t="shared" si="0"/>
        <v>42638</v>
      </c>
      <c r="F10" s="42">
        <v>42825</v>
      </c>
      <c r="G10" s="38">
        <f t="shared" si="1"/>
        <v>188</v>
      </c>
      <c r="H10" s="38">
        <v>365</v>
      </c>
      <c r="I10" s="37">
        <f t="shared" si="2"/>
        <v>20000</v>
      </c>
      <c r="J10" s="77">
        <f t="shared" si="3"/>
        <v>10301</v>
      </c>
    </row>
    <row r="11" spans="1:19" ht="19.5" customHeight="1">
      <c r="B11" s="42">
        <v>42668</v>
      </c>
      <c r="C11" s="38" t="s">
        <v>4</v>
      </c>
      <c r="D11" s="43">
        <v>20000</v>
      </c>
      <c r="E11" s="42">
        <f t="shared" si="0"/>
        <v>42668</v>
      </c>
      <c r="F11" s="42">
        <v>42825</v>
      </c>
      <c r="G11" s="38">
        <f t="shared" si="1"/>
        <v>158</v>
      </c>
      <c r="H11" s="38">
        <v>365</v>
      </c>
      <c r="I11" s="37">
        <f t="shared" si="2"/>
        <v>20000</v>
      </c>
      <c r="J11" s="77">
        <f t="shared" si="3"/>
        <v>8657</v>
      </c>
    </row>
    <row r="12" spans="1:19" ht="19.5" customHeight="1">
      <c r="B12" s="42">
        <v>42699</v>
      </c>
      <c r="C12" s="38" t="s">
        <v>4</v>
      </c>
      <c r="D12" s="43">
        <v>20000</v>
      </c>
      <c r="E12" s="42">
        <f t="shared" si="0"/>
        <v>42699</v>
      </c>
      <c r="F12" s="42">
        <v>42825</v>
      </c>
      <c r="G12" s="38">
        <f t="shared" si="1"/>
        <v>127</v>
      </c>
      <c r="H12" s="38">
        <v>365</v>
      </c>
      <c r="I12" s="37">
        <f t="shared" si="2"/>
        <v>20000</v>
      </c>
      <c r="J12" s="77">
        <f t="shared" si="3"/>
        <v>6958</v>
      </c>
    </row>
    <row r="13" spans="1:19" ht="19.5" customHeight="1">
      <c r="B13" s="42">
        <v>42729</v>
      </c>
      <c r="C13" s="38" t="s">
        <v>4</v>
      </c>
      <c r="D13" s="43">
        <v>20000</v>
      </c>
      <c r="E13" s="42">
        <f t="shared" si="0"/>
        <v>42729</v>
      </c>
      <c r="F13" s="42">
        <v>42825</v>
      </c>
      <c r="G13" s="38">
        <f t="shared" si="1"/>
        <v>97</v>
      </c>
      <c r="H13" s="38">
        <v>365</v>
      </c>
      <c r="I13" s="37">
        <f t="shared" si="2"/>
        <v>20000</v>
      </c>
      <c r="J13" s="77">
        <f t="shared" si="3"/>
        <v>5315</v>
      </c>
    </row>
    <row r="14" spans="1:19" ht="19.5" customHeight="1" thickBot="1">
      <c r="B14" s="42">
        <v>42760</v>
      </c>
      <c r="C14" s="38" t="s">
        <v>4</v>
      </c>
      <c r="D14" s="43">
        <v>20000</v>
      </c>
      <c r="E14" s="42">
        <f t="shared" si="0"/>
        <v>42760</v>
      </c>
      <c r="F14" s="42">
        <v>42825</v>
      </c>
      <c r="G14" s="38">
        <f t="shared" si="1"/>
        <v>66</v>
      </c>
      <c r="H14" s="38">
        <v>365</v>
      </c>
      <c r="I14" s="37">
        <f t="shared" si="2"/>
        <v>20000</v>
      </c>
      <c r="J14" s="77">
        <f t="shared" si="3"/>
        <v>3616</v>
      </c>
    </row>
    <row r="15" spans="1:19" ht="19.5" customHeight="1" thickBot="1">
      <c r="B15" s="42">
        <v>42791</v>
      </c>
      <c r="C15" s="38" t="s">
        <v>4</v>
      </c>
      <c r="D15" s="43">
        <v>20000</v>
      </c>
      <c r="E15" s="42">
        <f t="shared" si="0"/>
        <v>42791</v>
      </c>
      <c r="F15" s="42">
        <v>42825</v>
      </c>
      <c r="G15" s="38">
        <f t="shared" si="1"/>
        <v>35</v>
      </c>
      <c r="H15" s="38">
        <v>365</v>
      </c>
      <c r="I15" s="37">
        <f t="shared" si="2"/>
        <v>20000</v>
      </c>
      <c r="J15" s="77">
        <f t="shared" si="3"/>
        <v>1917</v>
      </c>
      <c r="K15" s="99" t="s">
        <v>15</v>
      </c>
      <c r="L15" s="100"/>
      <c r="M15" s="100"/>
      <c r="N15" s="101"/>
    </row>
    <row r="16" spans="1:19" ht="19.5" customHeight="1">
      <c r="B16" s="42">
        <v>42819</v>
      </c>
      <c r="C16" s="38" t="s">
        <v>4</v>
      </c>
      <c r="D16" s="43">
        <v>20000</v>
      </c>
      <c r="E16" s="42">
        <f t="shared" si="0"/>
        <v>42819</v>
      </c>
      <c r="F16" s="42">
        <v>42825</v>
      </c>
      <c r="G16" s="38">
        <f t="shared" si="1"/>
        <v>7</v>
      </c>
      <c r="H16" s="38">
        <v>365</v>
      </c>
      <c r="I16" s="37">
        <f t="shared" si="2"/>
        <v>20000</v>
      </c>
      <c r="J16" s="77">
        <f t="shared" si="3"/>
        <v>383</v>
      </c>
      <c r="K16" s="44" t="s">
        <v>11</v>
      </c>
      <c r="L16" s="45" t="s">
        <v>12</v>
      </c>
      <c r="M16" s="45" t="s">
        <v>13</v>
      </c>
      <c r="N16" s="46" t="s">
        <v>14</v>
      </c>
    </row>
    <row r="17" spans="1:17" ht="19.5" customHeight="1" thickBot="1">
      <c r="B17" s="42"/>
      <c r="D17" s="43">
        <f>SUM(D4:D16)</f>
        <v>5240000</v>
      </c>
      <c r="E17" s="42"/>
      <c r="F17" s="42"/>
      <c r="J17" s="77">
        <f>SUM(J4:J16)</f>
        <v>5113912</v>
      </c>
      <c r="K17" s="47">
        <f>ROUNDDOWN(J17*1.6/100,0)</f>
        <v>81822</v>
      </c>
      <c r="L17" s="48">
        <f>ROUNDDOWN(K17*0.15315,0)</f>
        <v>12531</v>
      </c>
      <c r="M17" s="41">
        <f>ROUNDDOWN(K17*0.05,0)</f>
        <v>4091</v>
      </c>
      <c r="N17" s="49">
        <f>K17-L17-M17</f>
        <v>65200</v>
      </c>
      <c r="P17" s="77">
        <v>5114</v>
      </c>
      <c r="Q17" s="80">
        <v>-6.25E-2</v>
      </c>
    </row>
    <row r="18" spans="1:17" ht="19.5" customHeight="1">
      <c r="B18" s="42"/>
      <c r="D18" s="43"/>
      <c r="E18" s="42"/>
      <c r="F18" s="42"/>
      <c r="L18" s="38" t="s">
        <v>16</v>
      </c>
    </row>
    <row r="19" spans="1:17" ht="19.5" customHeight="1">
      <c r="A19" s="38" t="s">
        <v>29</v>
      </c>
      <c r="B19" s="42">
        <v>42826</v>
      </c>
      <c r="C19" s="38" t="s">
        <v>5</v>
      </c>
      <c r="D19" s="43">
        <f>D17+N17</f>
        <v>5305200</v>
      </c>
      <c r="E19" s="42">
        <f t="shared" ref="E19:E31" si="4">B19</f>
        <v>42826</v>
      </c>
      <c r="F19" s="42">
        <v>43190</v>
      </c>
      <c r="G19" s="38">
        <f t="shared" ref="G19:G31" si="5">F19-B19+1</f>
        <v>365</v>
      </c>
      <c r="H19" s="38">
        <v>365</v>
      </c>
      <c r="I19" s="37">
        <f t="shared" ref="I19:I31" si="6">ROUNDDOWN(D19/100,0)*100</f>
        <v>5305200</v>
      </c>
      <c r="J19" s="77">
        <f t="shared" ref="J19:J31" si="7">ROUNDDOWN(I19*G19/H19,0)</f>
        <v>5305200</v>
      </c>
    </row>
    <row r="20" spans="1:17" ht="19.5" customHeight="1">
      <c r="B20" s="42">
        <v>42850</v>
      </c>
      <c r="C20" s="38" t="s">
        <v>4</v>
      </c>
      <c r="D20" s="43">
        <v>0</v>
      </c>
      <c r="E20" s="42">
        <f t="shared" si="4"/>
        <v>42850</v>
      </c>
      <c r="F20" s="42">
        <v>43190</v>
      </c>
      <c r="G20" s="38">
        <f t="shared" si="5"/>
        <v>341</v>
      </c>
      <c r="H20" s="38">
        <v>365</v>
      </c>
      <c r="I20" s="37">
        <f t="shared" si="6"/>
        <v>0</v>
      </c>
      <c r="J20" s="77">
        <f t="shared" si="7"/>
        <v>0</v>
      </c>
    </row>
    <row r="21" spans="1:17" ht="19.5" customHeight="1">
      <c r="B21" s="42">
        <v>42880</v>
      </c>
      <c r="C21" s="38" t="s">
        <v>4</v>
      </c>
      <c r="D21" s="43">
        <v>0</v>
      </c>
      <c r="E21" s="42">
        <f t="shared" si="4"/>
        <v>42880</v>
      </c>
      <c r="F21" s="42">
        <v>43190</v>
      </c>
      <c r="G21" s="38">
        <f t="shared" si="5"/>
        <v>311</v>
      </c>
      <c r="H21" s="38">
        <v>365</v>
      </c>
      <c r="I21" s="37">
        <f t="shared" si="6"/>
        <v>0</v>
      </c>
      <c r="J21" s="77">
        <f t="shared" si="7"/>
        <v>0</v>
      </c>
    </row>
    <row r="22" spans="1:17" ht="19.5" customHeight="1">
      <c r="B22" s="42">
        <v>42911</v>
      </c>
      <c r="C22" s="38" t="s">
        <v>4</v>
      </c>
      <c r="D22" s="43">
        <v>0</v>
      </c>
      <c r="E22" s="42">
        <f t="shared" si="4"/>
        <v>42911</v>
      </c>
      <c r="F22" s="42">
        <v>43190</v>
      </c>
      <c r="G22" s="38">
        <f t="shared" si="5"/>
        <v>280</v>
      </c>
      <c r="H22" s="38">
        <v>365</v>
      </c>
      <c r="I22" s="37">
        <f t="shared" si="6"/>
        <v>0</v>
      </c>
      <c r="J22" s="77">
        <f t="shared" si="7"/>
        <v>0</v>
      </c>
    </row>
    <row r="23" spans="1:17" ht="19.5" customHeight="1">
      <c r="B23" s="42">
        <v>42941</v>
      </c>
      <c r="C23" s="38" t="s">
        <v>4</v>
      </c>
      <c r="D23" s="43">
        <v>0</v>
      </c>
      <c r="E23" s="42">
        <f t="shared" si="4"/>
        <v>42941</v>
      </c>
      <c r="F23" s="42">
        <v>43190</v>
      </c>
      <c r="G23" s="38">
        <f t="shared" si="5"/>
        <v>250</v>
      </c>
      <c r="H23" s="38">
        <v>365</v>
      </c>
      <c r="I23" s="37">
        <f t="shared" si="6"/>
        <v>0</v>
      </c>
      <c r="J23" s="77">
        <f t="shared" si="7"/>
        <v>0</v>
      </c>
    </row>
    <row r="24" spans="1:17" ht="19.5" customHeight="1">
      <c r="B24" s="42">
        <v>42972</v>
      </c>
      <c r="C24" s="38" t="s">
        <v>4</v>
      </c>
      <c r="D24" s="43">
        <v>0</v>
      </c>
      <c r="E24" s="42">
        <f t="shared" si="4"/>
        <v>42972</v>
      </c>
      <c r="F24" s="42">
        <v>43190</v>
      </c>
      <c r="G24" s="38">
        <f t="shared" si="5"/>
        <v>219</v>
      </c>
      <c r="H24" s="38">
        <v>365</v>
      </c>
      <c r="I24" s="37">
        <f t="shared" si="6"/>
        <v>0</v>
      </c>
      <c r="J24" s="77">
        <f t="shared" si="7"/>
        <v>0</v>
      </c>
    </row>
    <row r="25" spans="1:17" ht="19.5" customHeight="1">
      <c r="B25" s="42">
        <v>43003</v>
      </c>
      <c r="C25" s="38" t="s">
        <v>4</v>
      </c>
      <c r="D25" s="43">
        <v>0</v>
      </c>
      <c r="E25" s="42">
        <f t="shared" si="4"/>
        <v>43003</v>
      </c>
      <c r="F25" s="42">
        <v>43190</v>
      </c>
      <c r="G25" s="38">
        <f t="shared" si="5"/>
        <v>188</v>
      </c>
      <c r="H25" s="38">
        <v>365</v>
      </c>
      <c r="I25" s="37">
        <f t="shared" si="6"/>
        <v>0</v>
      </c>
      <c r="J25" s="77">
        <f t="shared" si="7"/>
        <v>0</v>
      </c>
    </row>
    <row r="26" spans="1:17" ht="19.5" customHeight="1">
      <c r="B26" s="42">
        <v>43033</v>
      </c>
      <c r="C26" s="38" t="s">
        <v>4</v>
      </c>
      <c r="D26" s="43">
        <v>0</v>
      </c>
      <c r="E26" s="42">
        <f t="shared" si="4"/>
        <v>43033</v>
      </c>
      <c r="F26" s="42">
        <v>43190</v>
      </c>
      <c r="G26" s="38">
        <f t="shared" si="5"/>
        <v>158</v>
      </c>
      <c r="H26" s="38">
        <v>365</v>
      </c>
      <c r="I26" s="37">
        <f t="shared" si="6"/>
        <v>0</v>
      </c>
      <c r="J26" s="77">
        <f t="shared" si="7"/>
        <v>0</v>
      </c>
    </row>
    <row r="27" spans="1:17" ht="19.5" customHeight="1">
      <c r="B27" s="42">
        <v>43064</v>
      </c>
      <c r="C27" s="38" t="s">
        <v>4</v>
      </c>
      <c r="D27" s="43">
        <v>0</v>
      </c>
      <c r="E27" s="42">
        <f t="shared" si="4"/>
        <v>43064</v>
      </c>
      <c r="F27" s="42">
        <v>43190</v>
      </c>
      <c r="G27" s="38">
        <f t="shared" si="5"/>
        <v>127</v>
      </c>
      <c r="H27" s="38">
        <v>365</v>
      </c>
      <c r="I27" s="37">
        <f t="shared" si="6"/>
        <v>0</v>
      </c>
      <c r="J27" s="77">
        <f t="shared" si="7"/>
        <v>0</v>
      </c>
    </row>
    <row r="28" spans="1:17" ht="19.5" customHeight="1">
      <c r="B28" s="42">
        <v>43094</v>
      </c>
      <c r="C28" s="38" t="s">
        <v>4</v>
      </c>
      <c r="D28" s="43">
        <v>0</v>
      </c>
      <c r="E28" s="42">
        <f t="shared" si="4"/>
        <v>43094</v>
      </c>
      <c r="F28" s="42">
        <v>43190</v>
      </c>
      <c r="G28" s="38">
        <f t="shared" si="5"/>
        <v>97</v>
      </c>
      <c r="H28" s="38">
        <v>365</v>
      </c>
      <c r="I28" s="37">
        <f t="shared" si="6"/>
        <v>0</v>
      </c>
      <c r="J28" s="77">
        <f t="shared" si="7"/>
        <v>0</v>
      </c>
    </row>
    <row r="29" spans="1:17" ht="19.5" customHeight="1" thickBot="1">
      <c r="B29" s="42">
        <v>43125</v>
      </c>
      <c r="C29" s="38" t="s">
        <v>4</v>
      </c>
      <c r="D29" s="43">
        <v>0</v>
      </c>
      <c r="E29" s="42">
        <f t="shared" si="4"/>
        <v>43125</v>
      </c>
      <c r="F29" s="42">
        <v>43190</v>
      </c>
      <c r="G29" s="38">
        <f t="shared" si="5"/>
        <v>66</v>
      </c>
      <c r="H29" s="38">
        <v>365</v>
      </c>
      <c r="I29" s="37">
        <f t="shared" si="6"/>
        <v>0</v>
      </c>
      <c r="J29" s="77">
        <f t="shared" si="7"/>
        <v>0</v>
      </c>
    </row>
    <row r="30" spans="1:17" ht="19.5" customHeight="1" thickBot="1">
      <c r="B30" s="42">
        <v>43156</v>
      </c>
      <c r="C30" s="38" t="s">
        <v>4</v>
      </c>
      <c r="D30" s="43">
        <v>0</v>
      </c>
      <c r="E30" s="42">
        <f t="shared" si="4"/>
        <v>43156</v>
      </c>
      <c r="F30" s="42">
        <v>43190</v>
      </c>
      <c r="G30" s="38">
        <f t="shared" si="5"/>
        <v>35</v>
      </c>
      <c r="H30" s="38">
        <v>365</v>
      </c>
      <c r="I30" s="37">
        <f t="shared" si="6"/>
        <v>0</v>
      </c>
      <c r="J30" s="77">
        <f t="shared" si="7"/>
        <v>0</v>
      </c>
      <c r="K30" s="99" t="s">
        <v>15</v>
      </c>
      <c r="L30" s="100"/>
      <c r="M30" s="100"/>
      <c r="N30" s="101"/>
    </row>
    <row r="31" spans="1:17" ht="19.5" customHeight="1">
      <c r="B31" s="42">
        <v>43184</v>
      </c>
      <c r="C31" s="38" t="s">
        <v>4</v>
      </c>
      <c r="D31" s="43">
        <v>0</v>
      </c>
      <c r="E31" s="42">
        <f t="shared" si="4"/>
        <v>43184</v>
      </c>
      <c r="F31" s="42">
        <v>43190</v>
      </c>
      <c r="G31" s="38">
        <f t="shared" si="5"/>
        <v>7</v>
      </c>
      <c r="H31" s="38">
        <v>365</v>
      </c>
      <c r="I31" s="37">
        <f t="shared" si="6"/>
        <v>0</v>
      </c>
      <c r="J31" s="77">
        <f t="shared" si="7"/>
        <v>0</v>
      </c>
      <c r="K31" s="44" t="s">
        <v>11</v>
      </c>
      <c r="L31" s="45" t="s">
        <v>12</v>
      </c>
      <c r="M31" s="45" t="s">
        <v>13</v>
      </c>
      <c r="N31" s="46" t="s">
        <v>14</v>
      </c>
      <c r="Q31" s="77"/>
    </row>
    <row r="32" spans="1:17" ht="19.5" customHeight="1" thickBot="1">
      <c r="D32" s="43">
        <f>SUM(D19:D31)</f>
        <v>5305200</v>
      </c>
      <c r="J32" s="77">
        <f>SUM(J19:J31)</f>
        <v>5305200</v>
      </c>
      <c r="K32" s="47">
        <f>ROUNDDOWN(J32*1.6/100,0)</f>
        <v>84883</v>
      </c>
      <c r="L32" s="48">
        <f>ROUNDDOWN(K32*0.15315,0)</f>
        <v>12999</v>
      </c>
      <c r="M32" s="41">
        <f>ROUNDDOWN(K32*0.05,0)</f>
        <v>4244</v>
      </c>
      <c r="N32" s="49">
        <f>K32-L32-M32</f>
        <v>67640</v>
      </c>
    </row>
    <row r="33" spans="1:14" ht="19.5" customHeight="1">
      <c r="D33" s="43"/>
      <c r="L33" s="38" t="s">
        <v>16</v>
      </c>
    </row>
    <row r="34" spans="1:14" ht="19.5" customHeight="1">
      <c r="A34" s="38" t="s">
        <v>30</v>
      </c>
      <c r="B34" s="42">
        <v>43191</v>
      </c>
      <c r="C34" s="38" t="s">
        <v>5</v>
      </c>
      <c r="D34" s="43">
        <f>D32+N32</f>
        <v>5372840</v>
      </c>
      <c r="E34" s="42">
        <f t="shared" ref="E34:E46" si="8">B34</f>
        <v>43191</v>
      </c>
      <c r="F34" s="42">
        <v>43555</v>
      </c>
      <c r="G34" s="38">
        <f t="shared" ref="G34:G46" si="9">F34-B34+1</f>
        <v>365</v>
      </c>
      <c r="H34" s="38">
        <v>365</v>
      </c>
      <c r="I34" s="37">
        <f t="shared" ref="I34:I46" si="10">ROUNDDOWN(D34/100,0)*100</f>
        <v>5372800</v>
      </c>
      <c r="J34" s="77">
        <f t="shared" ref="J34:J46" si="11">ROUNDDOWN(I34*G34/H34,0)</f>
        <v>5372800</v>
      </c>
    </row>
    <row r="35" spans="1:14" ht="19.5" customHeight="1">
      <c r="B35" s="42">
        <v>43215</v>
      </c>
      <c r="C35" s="38" t="s">
        <v>4</v>
      </c>
      <c r="D35" s="43">
        <v>0</v>
      </c>
      <c r="E35" s="42">
        <f t="shared" si="8"/>
        <v>43215</v>
      </c>
      <c r="F35" s="42">
        <v>43555</v>
      </c>
      <c r="G35" s="38">
        <f t="shared" si="9"/>
        <v>341</v>
      </c>
      <c r="H35" s="38">
        <v>365</v>
      </c>
      <c r="I35" s="37">
        <f t="shared" si="10"/>
        <v>0</v>
      </c>
      <c r="J35" s="77">
        <f t="shared" si="11"/>
        <v>0</v>
      </c>
    </row>
    <row r="36" spans="1:14" ht="19.5" customHeight="1">
      <c r="B36" s="42">
        <v>43245</v>
      </c>
      <c r="C36" s="38" t="s">
        <v>4</v>
      </c>
      <c r="D36" s="43">
        <v>0</v>
      </c>
      <c r="E36" s="42">
        <f t="shared" si="8"/>
        <v>43245</v>
      </c>
      <c r="F36" s="42">
        <v>43555</v>
      </c>
      <c r="G36" s="38">
        <f t="shared" si="9"/>
        <v>311</v>
      </c>
      <c r="H36" s="38">
        <v>365</v>
      </c>
      <c r="I36" s="37">
        <f t="shared" si="10"/>
        <v>0</v>
      </c>
      <c r="J36" s="77">
        <f t="shared" si="11"/>
        <v>0</v>
      </c>
    </row>
    <row r="37" spans="1:14" ht="19.5" customHeight="1">
      <c r="B37" s="42">
        <v>43276</v>
      </c>
      <c r="C37" s="38" t="s">
        <v>4</v>
      </c>
      <c r="D37" s="43">
        <v>0</v>
      </c>
      <c r="E37" s="42">
        <f t="shared" si="8"/>
        <v>43276</v>
      </c>
      <c r="F37" s="42">
        <v>43555</v>
      </c>
      <c r="G37" s="38">
        <f t="shared" si="9"/>
        <v>280</v>
      </c>
      <c r="H37" s="38">
        <v>365</v>
      </c>
      <c r="I37" s="37">
        <f t="shared" si="10"/>
        <v>0</v>
      </c>
      <c r="J37" s="77">
        <f t="shared" si="11"/>
        <v>0</v>
      </c>
    </row>
    <row r="38" spans="1:14" ht="19.5" customHeight="1">
      <c r="B38" s="42">
        <v>43306</v>
      </c>
      <c r="C38" s="38" t="s">
        <v>4</v>
      </c>
      <c r="D38" s="43">
        <v>0</v>
      </c>
      <c r="E38" s="42">
        <f t="shared" si="8"/>
        <v>43306</v>
      </c>
      <c r="F38" s="42">
        <v>43555</v>
      </c>
      <c r="G38" s="38">
        <f t="shared" si="9"/>
        <v>250</v>
      </c>
      <c r="H38" s="38">
        <v>365</v>
      </c>
      <c r="I38" s="37">
        <f t="shared" si="10"/>
        <v>0</v>
      </c>
      <c r="J38" s="77">
        <f t="shared" si="11"/>
        <v>0</v>
      </c>
    </row>
    <row r="39" spans="1:14" ht="19.5" customHeight="1">
      <c r="B39" s="42">
        <v>43337</v>
      </c>
      <c r="C39" s="38" t="s">
        <v>4</v>
      </c>
      <c r="D39" s="43">
        <v>0</v>
      </c>
      <c r="E39" s="42">
        <f t="shared" si="8"/>
        <v>43337</v>
      </c>
      <c r="F39" s="42">
        <v>43555</v>
      </c>
      <c r="G39" s="38">
        <f t="shared" si="9"/>
        <v>219</v>
      </c>
      <c r="H39" s="38">
        <v>365</v>
      </c>
      <c r="I39" s="37">
        <f t="shared" si="10"/>
        <v>0</v>
      </c>
      <c r="J39" s="77">
        <f t="shared" si="11"/>
        <v>0</v>
      </c>
    </row>
    <row r="40" spans="1:14" ht="19.5" customHeight="1">
      <c r="B40" s="42">
        <v>43368</v>
      </c>
      <c r="C40" s="38" t="s">
        <v>4</v>
      </c>
      <c r="D40" s="43">
        <v>0</v>
      </c>
      <c r="E40" s="42">
        <f t="shared" si="8"/>
        <v>43368</v>
      </c>
      <c r="F40" s="42">
        <v>43555</v>
      </c>
      <c r="G40" s="38">
        <f t="shared" si="9"/>
        <v>188</v>
      </c>
      <c r="H40" s="38">
        <v>365</v>
      </c>
      <c r="I40" s="37">
        <f t="shared" si="10"/>
        <v>0</v>
      </c>
      <c r="J40" s="77">
        <f t="shared" si="11"/>
        <v>0</v>
      </c>
    </row>
    <row r="41" spans="1:14" ht="19.5" customHeight="1">
      <c r="B41" s="42">
        <v>43398</v>
      </c>
      <c r="C41" s="38" t="s">
        <v>4</v>
      </c>
      <c r="D41" s="43">
        <v>0</v>
      </c>
      <c r="E41" s="42">
        <f t="shared" si="8"/>
        <v>43398</v>
      </c>
      <c r="F41" s="42">
        <v>43555</v>
      </c>
      <c r="G41" s="38">
        <f t="shared" si="9"/>
        <v>158</v>
      </c>
      <c r="H41" s="38">
        <v>365</v>
      </c>
      <c r="I41" s="37">
        <f t="shared" si="10"/>
        <v>0</v>
      </c>
      <c r="J41" s="77">
        <f t="shared" si="11"/>
        <v>0</v>
      </c>
    </row>
    <row r="42" spans="1:14" ht="19.5" customHeight="1">
      <c r="B42" s="42">
        <v>43429</v>
      </c>
      <c r="C42" s="38" t="s">
        <v>4</v>
      </c>
      <c r="D42" s="43">
        <v>0</v>
      </c>
      <c r="E42" s="42">
        <f t="shared" si="8"/>
        <v>43429</v>
      </c>
      <c r="F42" s="42">
        <v>43555</v>
      </c>
      <c r="G42" s="38">
        <f t="shared" si="9"/>
        <v>127</v>
      </c>
      <c r="H42" s="38">
        <v>365</v>
      </c>
      <c r="I42" s="37">
        <f t="shared" si="10"/>
        <v>0</v>
      </c>
      <c r="J42" s="77">
        <f t="shared" si="11"/>
        <v>0</v>
      </c>
    </row>
    <row r="43" spans="1:14" ht="19.5" customHeight="1">
      <c r="B43" s="42">
        <v>43459</v>
      </c>
      <c r="C43" s="38" t="s">
        <v>4</v>
      </c>
      <c r="D43" s="43">
        <v>0</v>
      </c>
      <c r="E43" s="42">
        <f t="shared" si="8"/>
        <v>43459</v>
      </c>
      <c r="F43" s="42">
        <v>43555</v>
      </c>
      <c r="G43" s="38">
        <f t="shared" si="9"/>
        <v>97</v>
      </c>
      <c r="H43" s="38">
        <v>365</v>
      </c>
      <c r="I43" s="37">
        <f t="shared" si="10"/>
        <v>0</v>
      </c>
      <c r="J43" s="77">
        <f t="shared" si="11"/>
        <v>0</v>
      </c>
    </row>
    <row r="44" spans="1:14" ht="19.5" customHeight="1" thickBot="1">
      <c r="B44" s="42">
        <v>43490</v>
      </c>
      <c r="C44" s="38" t="s">
        <v>4</v>
      </c>
      <c r="D44" s="43">
        <v>0</v>
      </c>
      <c r="E44" s="42">
        <f t="shared" si="8"/>
        <v>43490</v>
      </c>
      <c r="F44" s="42">
        <v>43555</v>
      </c>
      <c r="G44" s="38">
        <f t="shared" si="9"/>
        <v>66</v>
      </c>
      <c r="H44" s="38">
        <v>365</v>
      </c>
      <c r="I44" s="37">
        <f t="shared" si="10"/>
        <v>0</v>
      </c>
      <c r="J44" s="77">
        <f t="shared" si="11"/>
        <v>0</v>
      </c>
    </row>
    <row r="45" spans="1:14" ht="19.5" customHeight="1" thickBot="1">
      <c r="B45" s="42">
        <v>43521</v>
      </c>
      <c r="C45" s="38" t="s">
        <v>4</v>
      </c>
      <c r="D45" s="43">
        <v>0</v>
      </c>
      <c r="E45" s="42">
        <f t="shared" si="8"/>
        <v>43521</v>
      </c>
      <c r="F45" s="42">
        <v>43555</v>
      </c>
      <c r="G45" s="38">
        <f t="shared" si="9"/>
        <v>35</v>
      </c>
      <c r="H45" s="38">
        <v>365</v>
      </c>
      <c r="I45" s="37">
        <f t="shared" si="10"/>
        <v>0</v>
      </c>
      <c r="J45" s="77">
        <f t="shared" si="11"/>
        <v>0</v>
      </c>
      <c r="K45" s="99" t="s">
        <v>15</v>
      </c>
      <c r="L45" s="100"/>
      <c r="M45" s="100"/>
      <c r="N45" s="101"/>
    </row>
    <row r="46" spans="1:14" ht="19.5" customHeight="1">
      <c r="B46" s="42">
        <v>43549</v>
      </c>
      <c r="C46" s="38" t="s">
        <v>4</v>
      </c>
      <c r="D46" s="43">
        <v>0</v>
      </c>
      <c r="E46" s="42">
        <f t="shared" si="8"/>
        <v>43549</v>
      </c>
      <c r="F46" s="42">
        <v>43555</v>
      </c>
      <c r="G46" s="38">
        <f t="shared" si="9"/>
        <v>7</v>
      </c>
      <c r="H46" s="38">
        <v>365</v>
      </c>
      <c r="I46" s="37">
        <f t="shared" si="10"/>
        <v>0</v>
      </c>
      <c r="J46" s="77">
        <f t="shared" si="11"/>
        <v>0</v>
      </c>
      <c r="K46" s="44" t="s">
        <v>11</v>
      </c>
      <c r="L46" s="45" t="s">
        <v>12</v>
      </c>
      <c r="M46" s="45" t="s">
        <v>13</v>
      </c>
      <c r="N46" s="46" t="s">
        <v>14</v>
      </c>
    </row>
    <row r="47" spans="1:14" ht="19.5" customHeight="1" thickBot="1">
      <c r="D47" s="43">
        <f>SUM(D34:D46)</f>
        <v>5372840</v>
      </c>
      <c r="J47" s="77">
        <f>SUM(J34:J46)</f>
        <v>5372800</v>
      </c>
      <c r="K47" s="47">
        <f>ROUNDDOWN(J47*1.6/100,0)</f>
        <v>85964</v>
      </c>
      <c r="L47" s="48">
        <f>ROUNDDOWN(K47*0.15315,0)</f>
        <v>13165</v>
      </c>
      <c r="M47" s="41">
        <f>ROUNDDOWN(K47*0.05,0)</f>
        <v>4298</v>
      </c>
      <c r="N47" s="49">
        <f>K47-L47-M47</f>
        <v>68501</v>
      </c>
    </row>
    <row r="48" spans="1:14" ht="19.5" customHeight="1">
      <c r="A48" s="38" t="s">
        <v>31</v>
      </c>
      <c r="B48" s="42">
        <v>43556</v>
      </c>
      <c r="C48" s="38" t="s">
        <v>5</v>
      </c>
      <c r="D48" s="43">
        <f>D32+N32</f>
        <v>5372840</v>
      </c>
      <c r="E48" s="42">
        <f t="shared" ref="E48:E60" si="12">B48</f>
        <v>43556</v>
      </c>
      <c r="F48" s="42">
        <v>43921</v>
      </c>
      <c r="G48" s="38">
        <f t="shared" ref="G48:G60" si="13">F48-B48+1</f>
        <v>366</v>
      </c>
      <c r="H48" s="50">
        <v>366</v>
      </c>
      <c r="I48" s="37">
        <f t="shared" ref="I48:I60" si="14">ROUNDDOWN(D48/100,0)*100</f>
        <v>5372800</v>
      </c>
      <c r="J48" s="77">
        <f t="shared" ref="J48:J60" si="15">ROUNDDOWN(I48*G48/H48,0)</f>
        <v>5372800</v>
      </c>
      <c r="L48" s="38" t="s">
        <v>16</v>
      </c>
    </row>
    <row r="49" spans="1:14" ht="19.5" customHeight="1">
      <c r="B49" s="42">
        <v>43580</v>
      </c>
      <c r="C49" s="38" t="s">
        <v>4</v>
      </c>
      <c r="D49" s="43"/>
      <c r="E49" s="42">
        <f t="shared" si="12"/>
        <v>43580</v>
      </c>
      <c r="F49" s="42">
        <v>43921</v>
      </c>
      <c r="G49" s="38">
        <f t="shared" si="13"/>
        <v>342</v>
      </c>
      <c r="H49" s="50">
        <v>366</v>
      </c>
      <c r="I49" s="37">
        <f t="shared" si="14"/>
        <v>0</v>
      </c>
      <c r="J49" s="77">
        <f t="shared" si="15"/>
        <v>0</v>
      </c>
    </row>
    <row r="50" spans="1:14" ht="19.5" customHeight="1">
      <c r="B50" s="42">
        <v>43610</v>
      </c>
      <c r="C50" s="38" t="s">
        <v>4</v>
      </c>
      <c r="D50" s="43"/>
      <c r="E50" s="42">
        <f t="shared" si="12"/>
        <v>43610</v>
      </c>
      <c r="F50" s="42">
        <v>43921</v>
      </c>
      <c r="G50" s="38">
        <f t="shared" si="13"/>
        <v>312</v>
      </c>
      <c r="H50" s="50">
        <v>366</v>
      </c>
      <c r="I50" s="37">
        <f t="shared" si="14"/>
        <v>0</v>
      </c>
      <c r="J50" s="77">
        <f t="shared" si="15"/>
        <v>0</v>
      </c>
      <c r="K50" s="102" t="s">
        <v>32</v>
      </c>
      <c r="L50" s="102"/>
      <c r="M50" s="102"/>
      <c r="N50" s="102"/>
    </row>
    <row r="51" spans="1:14" ht="19.5" customHeight="1">
      <c r="B51" s="42">
        <v>43641</v>
      </c>
      <c r="C51" s="38" t="s">
        <v>4</v>
      </c>
      <c r="D51" s="43"/>
      <c r="E51" s="42">
        <f t="shared" si="12"/>
        <v>43641</v>
      </c>
      <c r="F51" s="42">
        <v>43921</v>
      </c>
      <c r="G51" s="38">
        <f t="shared" si="13"/>
        <v>281</v>
      </c>
      <c r="H51" s="50">
        <v>366</v>
      </c>
      <c r="I51" s="37">
        <f t="shared" si="14"/>
        <v>0</v>
      </c>
      <c r="J51" s="77">
        <f t="shared" si="15"/>
        <v>0</v>
      </c>
    </row>
    <row r="52" spans="1:14" ht="19.5" customHeight="1">
      <c r="B52" s="42">
        <v>43671</v>
      </c>
      <c r="C52" s="38" t="s">
        <v>4</v>
      </c>
      <c r="D52" s="43"/>
      <c r="E52" s="42">
        <f t="shared" si="12"/>
        <v>43671</v>
      </c>
      <c r="F52" s="42">
        <v>43921</v>
      </c>
      <c r="G52" s="38">
        <f t="shared" si="13"/>
        <v>251</v>
      </c>
      <c r="H52" s="50">
        <v>366</v>
      </c>
      <c r="I52" s="37">
        <f t="shared" si="14"/>
        <v>0</v>
      </c>
      <c r="J52" s="77">
        <f t="shared" si="15"/>
        <v>0</v>
      </c>
    </row>
    <row r="53" spans="1:14" ht="19.5" customHeight="1">
      <c r="B53" s="42">
        <v>43702</v>
      </c>
      <c r="C53" s="38" t="s">
        <v>4</v>
      </c>
      <c r="D53" s="43"/>
      <c r="E53" s="42">
        <f t="shared" si="12"/>
        <v>43702</v>
      </c>
      <c r="F53" s="42">
        <v>43921</v>
      </c>
      <c r="G53" s="38">
        <f t="shared" si="13"/>
        <v>220</v>
      </c>
      <c r="H53" s="50">
        <v>366</v>
      </c>
      <c r="I53" s="37">
        <f t="shared" si="14"/>
        <v>0</v>
      </c>
      <c r="J53" s="77">
        <f t="shared" si="15"/>
        <v>0</v>
      </c>
    </row>
    <row r="54" spans="1:14" ht="19.5" customHeight="1">
      <c r="B54" s="42">
        <v>43733</v>
      </c>
      <c r="C54" s="38" t="s">
        <v>4</v>
      </c>
      <c r="D54" s="43"/>
      <c r="E54" s="42">
        <f t="shared" si="12"/>
        <v>43733</v>
      </c>
      <c r="F54" s="42">
        <v>43921</v>
      </c>
      <c r="G54" s="38">
        <f t="shared" si="13"/>
        <v>189</v>
      </c>
      <c r="H54" s="50">
        <v>366</v>
      </c>
      <c r="I54" s="37">
        <f t="shared" si="14"/>
        <v>0</v>
      </c>
      <c r="J54" s="77">
        <f t="shared" si="15"/>
        <v>0</v>
      </c>
    </row>
    <row r="55" spans="1:14" ht="19.5" customHeight="1">
      <c r="B55" s="42">
        <v>43763</v>
      </c>
      <c r="C55" s="38" t="s">
        <v>4</v>
      </c>
      <c r="D55" s="43"/>
      <c r="E55" s="42">
        <f t="shared" si="12"/>
        <v>43763</v>
      </c>
      <c r="F55" s="42">
        <v>43921</v>
      </c>
      <c r="G55" s="38">
        <f t="shared" si="13"/>
        <v>159</v>
      </c>
      <c r="H55" s="50">
        <v>366</v>
      </c>
      <c r="I55" s="37">
        <f t="shared" si="14"/>
        <v>0</v>
      </c>
      <c r="J55" s="77">
        <f t="shared" si="15"/>
        <v>0</v>
      </c>
    </row>
    <row r="56" spans="1:14" ht="19.5" customHeight="1">
      <c r="B56" s="42">
        <v>43794</v>
      </c>
      <c r="C56" s="38" t="s">
        <v>4</v>
      </c>
      <c r="D56" s="43"/>
      <c r="E56" s="42">
        <f t="shared" si="12"/>
        <v>43794</v>
      </c>
      <c r="F56" s="42">
        <v>43921</v>
      </c>
      <c r="G56" s="38">
        <f t="shared" si="13"/>
        <v>128</v>
      </c>
      <c r="H56" s="50">
        <v>366</v>
      </c>
      <c r="I56" s="37">
        <f t="shared" si="14"/>
        <v>0</v>
      </c>
      <c r="J56" s="77">
        <f t="shared" si="15"/>
        <v>0</v>
      </c>
    </row>
    <row r="57" spans="1:14" ht="19.5" customHeight="1">
      <c r="B57" s="42">
        <v>43824</v>
      </c>
      <c r="C57" s="38" t="s">
        <v>4</v>
      </c>
      <c r="D57" s="43"/>
      <c r="E57" s="42">
        <f t="shared" si="12"/>
        <v>43824</v>
      </c>
      <c r="F57" s="42">
        <v>43921</v>
      </c>
      <c r="G57" s="38">
        <f t="shared" si="13"/>
        <v>98</v>
      </c>
      <c r="H57" s="50">
        <v>366</v>
      </c>
      <c r="I57" s="37">
        <f t="shared" si="14"/>
        <v>0</v>
      </c>
      <c r="J57" s="77">
        <f t="shared" si="15"/>
        <v>0</v>
      </c>
    </row>
    <row r="58" spans="1:14" ht="19.5" customHeight="1" thickBot="1">
      <c r="B58" s="42">
        <v>43855</v>
      </c>
      <c r="C58" s="38" t="s">
        <v>4</v>
      </c>
      <c r="D58" s="43"/>
      <c r="E58" s="42">
        <f t="shared" si="12"/>
        <v>43855</v>
      </c>
      <c r="F58" s="42">
        <v>43921</v>
      </c>
      <c r="G58" s="38">
        <f t="shared" si="13"/>
        <v>67</v>
      </c>
      <c r="H58" s="50">
        <v>366</v>
      </c>
      <c r="I58" s="37">
        <f t="shared" si="14"/>
        <v>0</v>
      </c>
      <c r="J58" s="77">
        <f t="shared" si="15"/>
        <v>0</v>
      </c>
    </row>
    <row r="59" spans="1:14" ht="19.5" customHeight="1" thickBot="1">
      <c r="B59" s="42">
        <v>43886</v>
      </c>
      <c r="C59" s="38" t="s">
        <v>4</v>
      </c>
      <c r="D59" s="43"/>
      <c r="E59" s="42">
        <f t="shared" si="12"/>
        <v>43886</v>
      </c>
      <c r="F59" s="42">
        <v>43921</v>
      </c>
      <c r="G59" s="50">
        <f t="shared" si="13"/>
        <v>36</v>
      </c>
      <c r="H59" s="50">
        <v>366</v>
      </c>
      <c r="I59" s="37">
        <f t="shared" si="14"/>
        <v>0</v>
      </c>
      <c r="J59" s="77">
        <f t="shared" si="15"/>
        <v>0</v>
      </c>
      <c r="K59" s="99" t="s">
        <v>15</v>
      </c>
      <c r="L59" s="100"/>
      <c r="M59" s="100"/>
      <c r="N59" s="101"/>
    </row>
    <row r="60" spans="1:14" ht="19.5" customHeight="1">
      <c r="B60" s="42">
        <v>43915</v>
      </c>
      <c r="C60" s="38" t="s">
        <v>4</v>
      </c>
      <c r="D60" s="43"/>
      <c r="E60" s="42">
        <f t="shared" si="12"/>
        <v>43915</v>
      </c>
      <c r="F60" s="42">
        <v>43921</v>
      </c>
      <c r="G60" s="38">
        <f t="shared" si="13"/>
        <v>7</v>
      </c>
      <c r="H60" s="50">
        <v>366</v>
      </c>
      <c r="I60" s="37">
        <f t="shared" si="14"/>
        <v>0</v>
      </c>
      <c r="J60" s="77">
        <f t="shared" si="15"/>
        <v>0</v>
      </c>
      <c r="K60" s="44" t="s">
        <v>11</v>
      </c>
      <c r="L60" s="45" t="s">
        <v>12</v>
      </c>
      <c r="M60" s="45" t="s">
        <v>13</v>
      </c>
      <c r="N60" s="46" t="s">
        <v>14</v>
      </c>
    </row>
    <row r="61" spans="1:14" ht="19.5" customHeight="1" thickBot="1">
      <c r="D61" s="43">
        <f>SUM(D48:D60)</f>
        <v>5372840</v>
      </c>
      <c r="J61" s="77">
        <f>SUM(J48:J60)</f>
        <v>5372800</v>
      </c>
      <c r="K61" s="47">
        <f>ROUNDDOWN(J61*1.6/100,0)</f>
        <v>85964</v>
      </c>
      <c r="L61" s="48">
        <f>ROUNDDOWN(K61*0.15315,0)</f>
        <v>13165</v>
      </c>
      <c r="M61" s="41">
        <f>ROUNDDOWN(K61*0.05,0)</f>
        <v>4298</v>
      </c>
      <c r="N61" s="49">
        <f>K61-L61-M61</f>
        <v>68501</v>
      </c>
    </row>
    <row r="62" spans="1:14" ht="19.5" customHeight="1">
      <c r="A62" s="38" t="s">
        <v>33</v>
      </c>
      <c r="B62" s="42">
        <v>43922</v>
      </c>
      <c r="C62" s="38" t="s">
        <v>5</v>
      </c>
      <c r="D62" s="43">
        <f>D61+N61</f>
        <v>5441341</v>
      </c>
      <c r="E62" s="42">
        <f t="shared" ref="E62:E74" si="16">B62</f>
        <v>43922</v>
      </c>
      <c r="F62" s="42">
        <v>44286</v>
      </c>
      <c r="G62" s="38">
        <f t="shared" ref="G62:G74" si="17">F62-B62+1</f>
        <v>365</v>
      </c>
      <c r="H62" s="38">
        <v>365</v>
      </c>
      <c r="I62" s="37">
        <f t="shared" ref="I62:I74" si="18">ROUNDDOWN(D62/100,0)*100</f>
        <v>5441300</v>
      </c>
      <c r="J62" s="77">
        <f t="shared" ref="J62:J74" si="19">ROUNDDOWN(I62*G62/H62,0)</f>
        <v>5441300</v>
      </c>
      <c r="L62" s="38" t="s">
        <v>16</v>
      </c>
    </row>
    <row r="63" spans="1:14" ht="19.5" customHeight="1">
      <c r="B63" s="42">
        <v>43946</v>
      </c>
      <c r="C63" s="38" t="s">
        <v>4</v>
      </c>
      <c r="D63" s="43">
        <v>0</v>
      </c>
      <c r="E63" s="42">
        <f t="shared" si="16"/>
        <v>43946</v>
      </c>
      <c r="F63" s="42">
        <v>44286</v>
      </c>
      <c r="G63" s="38">
        <f t="shared" si="17"/>
        <v>341</v>
      </c>
      <c r="H63" s="38">
        <v>365</v>
      </c>
      <c r="I63" s="37">
        <f t="shared" si="18"/>
        <v>0</v>
      </c>
      <c r="J63" s="77">
        <f t="shared" si="19"/>
        <v>0</v>
      </c>
    </row>
    <row r="64" spans="1:14" ht="19.5" customHeight="1">
      <c r="B64" s="42">
        <v>43976</v>
      </c>
      <c r="C64" s="38" t="s">
        <v>4</v>
      </c>
      <c r="D64" s="43">
        <v>0</v>
      </c>
      <c r="E64" s="42">
        <f t="shared" si="16"/>
        <v>43976</v>
      </c>
      <c r="F64" s="42">
        <v>44286</v>
      </c>
      <c r="G64" s="38">
        <f t="shared" si="17"/>
        <v>311</v>
      </c>
      <c r="H64" s="38">
        <v>365</v>
      </c>
      <c r="I64" s="37">
        <f t="shared" si="18"/>
        <v>0</v>
      </c>
      <c r="J64" s="77">
        <f t="shared" si="19"/>
        <v>0</v>
      </c>
    </row>
    <row r="65" spans="1:14" ht="19.5" customHeight="1">
      <c r="B65" s="42">
        <v>44007</v>
      </c>
      <c r="C65" s="38" t="s">
        <v>4</v>
      </c>
      <c r="D65" s="43">
        <v>0</v>
      </c>
      <c r="E65" s="42">
        <f t="shared" si="16"/>
        <v>44007</v>
      </c>
      <c r="F65" s="42">
        <v>44286</v>
      </c>
      <c r="G65" s="38">
        <f t="shared" si="17"/>
        <v>280</v>
      </c>
      <c r="H65" s="38">
        <v>365</v>
      </c>
      <c r="I65" s="37">
        <f t="shared" si="18"/>
        <v>0</v>
      </c>
      <c r="J65" s="77">
        <f t="shared" si="19"/>
        <v>0</v>
      </c>
    </row>
    <row r="66" spans="1:14" ht="19.5" customHeight="1">
      <c r="B66" s="42">
        <v>44037</v>
      </c>
      <c r="C66" s="38" t="s">
        <v>4</v>
      </c>
      <c r="D66" s="43"/>
      <c r="E66" s="42">
        <f t="shared" si="16"/>
        <v>44037</v>
      </c>
      <c r="F66" s="42">
        <v>44286</v>
      </c>
      <c r="G66" s="38">
        <f t="shared" si="17"/>
        <v>250</v>
      </c>
      <c r="H66" s="38">
        <v>365</v>
      </c>
      <c r="I66" s="37">
        <f t="shared" si="18"/>
        <v>0</v>
      </c>
      <c r="J66" s="77">
        <f t="shared" si="19"/>
        <v>0</v>
      </c>
    </row>
    <row r="67" spans="1:14" ht="19.5" customHeight="1">
      <c r="B67" s="42">
        <v>44068</v>
      </c>
      <c r="C67" s="38" t="s">
        <v>4</v>
      </c>
      <c r="D67" s="43"/>
      <c r="E67" s="42">
        <f t="shared" si="16"/>
        <v>44068</v>
      </c>
      <c r="F67" s="42">
        <v>44286</v>
      </c>
      <c r="G67" s="38">
        <f t="shared" si="17"/>
        <v>219</v>
      </c>
      <c r="H67" s="38">
        <v>365</v>
      </c>
      <c r="I67" s="37">
        <f t="shared" si="18"/>
        <v>0</v>
      </c>
      <c r="J67" s="77">
        <f t="shared" si="19"/>
        <v>0</v>
      </c>
    </row>
    <row r="68" spans="1:14" ht="19.5" customHeight="1">
      <c r="B68" s="42">
        <v>44099</v>
      </c>
      <c r="C68" s="38" t="s">
        <v>4</v>
      </c>
      <c r="D68" s="43">
        <v>0</v>
      </c>
      <c r="E68" s="42">
        <f t="shared" si="16"/>
        <v>44099</v>
      </c>
      <c r="F68" s="42">
        <v>44286</v>
      </c>
      <c r="G68" s="38">
        <f t="shared" si="17"/>
        <v>188</v>
      </c>
      <c r="H68" s="38">
        <v>365</v>
      </c>
      <c r="I68" s="37">
        <f t="shared" si="18"/>
        <v>0</v>
      </c>
      <c r="J68" s="77">
        <f t="shared" si="19"/>
        <v>0</v>
      </c>
    </row>
    <row r="69" spans="1:14" ht="19.5" customHeight="1">
      <c r="B69" s="42">
        <v>44129</v>
      </c>
      <c r="C69" s="38" t="s">
        <v>4</v>
      </c>
      <c r="D69" s="43">
        <v>0</v>
      </c>
      <c r="E69" s="42">
        <f t="shared" si="16"/>
        <v>44129</v>
      </c>
      <c r="F69" s="42">
        <v>44286</v>
      </c>
      <c r="G69" s="38">
        <f t="shared" si="17"/>
        <v>158</v>
      </c>
      <c r="H69" s="38">
        <v>365</v>
      </c>
      <c r="I69" s="37">
        <f t="shared" si="18"/>
        <v>0</v>
      </c>
      <c r="J69" s="77">
        <f t="shared" si="19"/>
        <v>0</v>
      </c>
    </row>
    <row r="70" spans="1:14" ht="19.5" customHeight="1">
      <c r="B70" s="42">
        <v>44160</v>
      </c>
      <c r="C70" s="38" t="s">
        <v>4</v>
      </c>
      <c r="D70" s="43">
        <v>0</v>
      </c>
      <c r="E70" s="42">
        <f t="shared" si="16"/>
        <v>44160</v>
      </c>
      <c r="F70" s="42">
        <v>44286</v>
      </c>
      <c r="G70" s="38">
        <f t="shared" si="17"/>
        <v>127</v>
      </c>
      <c r="H70" s="38">
        <v>365</v>
      </c>
      <c r="I70" s="37">
        <f t="shared" si="18"/>
        <v>0</v>
      </c>
      <c r="J70" s="77">
        <f t="shared" si="19"/>
        <v>0</v>
      </c>
    </row>
    <row r="71" spans="1:14" ht="19.5" customHeight="1">
      <c r="B71" s="42">
        <v>44190</v>
      </c>
      <c r="C71" s="38" t="s">
        <v>4</v>
      </c>
      <c r="D71" s="43">
        <v>0</v>
      </c>
      <c r="E71" s="42">
        <f t="shared" si="16"/>
        <v>44190</v>
      </c>
      <c r="F71" s="42">
        <v>44286</v>
      </c>
      <c r="G71" s="38">
        <f t="shared" si="17"/>
        <v>97</v>
      </c>
      <c r="H71" s="38">
        <v>365</v>
      </c>
      <c r="I71" s="37">
        <f t="shared" si="18"/>
        <v>0</v>
      </c>
      <c r="J71" s="77">
        <f t="shared" si="19"/>
        <v>0</v>
      </c>
    </row>
    <row r="72" spans="1:14" ht="19.5" customHeight="1" thickBot="1">
      <c r="B72" s="42">
        <v>44221</v>
      </c>
      <c r="C72" s="38" t="s">
        <v>4</v>
      </c>
      <c r="D72" s="43">
        <v>0</v>
      </c>
      <c r="E72" s="42">
        <f t="shared" si="16"/>
        <v>44221</v>
      </c>
      <c r="F72" s="42">
        <v>44286</v>
      </c>
      <c r="G72" s="38">
        <f t="shared" si="17"/>
        <v>66</v>
      </c>
      <c r="H72" s="38">
        <v>365</v>
      </c>
      <c r="I72" s="37">
        <f t="shared" si="18"/>
        <v>0</v>
      </c>
      <c r="J72" s="77">
        <f t="shared" si="19"/>
        <v>0</v>
      </c>
    </row>
    <row r="73" spans="1:14" ht="19.5" customHeight="1" thickBot="1">
      <c r="B73" s="42">
        <v>44252</v>
      </c>
      <c r="C73" s="38" t="s">
        <v>4</v>
      </c>
      <c r="D73" s="43">
        <v>0</v>
      </c>
      <c r="E73" s="42">
        <f t="shared" si="16"/>
        <v>44252</v>
      </c>
      <c r="F73" s="42">
        <v>44286</v>
      </c>
      <c r="G73" s="38">
        <f t="shared" si="17"/>
        <v>35</v>
      </c>
      <c r="H73" s="38">
        <v>365</v>
      </c>
      <c r="I73" s="37">
        <f t="shared" si="18"/>
        <v>0</v>
      </c>
      <c r="J73" s="77">
        <f t="shared" si="19"/>
        <v>0</v>
      </c>
      <c r="K73" s="99" t="s">
        <v>15</v>
      </c>
      <c r="L73" s="100"/>
      <c r="M73" s="100"/>
      <c r="N73" s="101"/>
    </row>
    <row r="74" spans="1:14" ht="19.5" customHeight="1">
      <c r="B74" s="42">
        <v>44280</v>
      </c>
      <c r="C74" s="38" t="s">
        <v>4</v>
      </c>
      <c r="D74" s="43">
        <v>0</v>
      </c>
      <c r="E74" s="42">
        <f t="shared" si="16"/>
        <v>44280</v>
      </c>
      <c r="F74" s="42">
        <v>44286</v>
      </c>
      <c r="G74" s="38">
        <f t="shared" si="17"/>
        <v>7</v>
      </c>
      <c r="H74" s="38">
        <v>365</v>
      </c>
      <c r="I74" s="37">
        <f t="shared" si="18"/>
        <v>0</v>
      </c>
      <c r="J74" s="77">
        <f t="shared" si="19"/>
        <v>0</v>
      </c>
      <c r="K74" s="44" t="s">
        <v>11</v>
      </c>
      <c r="L74" s="45" t="s">
        <v>12</v>
      </c>
      <c r="M74" s="45" t="s">
        <v>13</v>
      </c>
      <c r="N74" s="46" t="s">
        <v>14</v>
      </c>
    </row>
    <row r="75" spans="1:14" ht="19.5" customHeight="1" thickBot="1">
      <c r="D75" s="43">
        <f>SUM(D62:D74)</f>
        <v>5441341</v>
      </c>
      <c r="J75" s="77">
        <f>SUM(J62:J74)</f>
        <v>5441300</v>
      </c>
      <c r="K75" s="47">
        <f>ROUNDDOWN(J75*1.6/100,0)</f>
        <v>87060</v>
      </c>
      <c r="L75" s="48">
        <f>ROUNDDOWN(K75*0.15315,0)</f>
        <v>13333</v>
      </c>
      <c r="M75" s="41">
        <f>ROUNDDOWN(K75*0.05,0)</f>
        <v>4353</v>
      </c>
      <c r="N75" s="49">
        <f>K75-L75-M75</f>
        <v>69374</v>
      </c>
    </row>
    <row r="76" spans="1:14" ht="19.5" customHeight="1">
      <c r="A76" s="38" t="s">
        <v>34</v>
      </c>
      <c r="B76" s="42">
        <v>44287</v>
      </c>
      <c r="C76" s="38" t="s">
        <v>5</v>
      </c>
      <c r="D76" s="51">
        <f>D75+N75</f>
        <v>5510715</v>
      </c>
      <c r="E76" s="42">
        <f t="shared" ref="E76:E88" si="20">B76</f>
        <v>44287</v>
      </c>
      <c r="F76" s="42">
        <v>44651</v>
      </c>
      <c r="G76" s="38">
        <f t="shared" ref="G76:G88" si="21">F76-B76+1</f>
        <v>365</v>
      </c>
      <c r="H76" s="38">
        <v>365</v>
      </c>
      <c r="I76" s="37">
        <f t="shared" ref="I76:I88" si="22">ROUNDDOWN(D76/100,0)*100</f>
        <v>5510700</v>
      </c>
      <c r="J76" s="77">
        <f t="shared" ref="J76:J88" si="23">ROUNDDOWN(I76*G76/H76,0)</f>
        <v>5510700</v>
      </c>
      <c r="L76" s="38" t="s">
        <v>16</v>
      </c>
    </row>
    <row r="77" spans="1:14" ht="19.5" customHeight="1">
      <c r="B77" s="42">
        <v>44311</v>
      </c>
      <c r="C77" s="38" t="s">
        <v>4</v>
      </c>
      <c r="D77" s="43">
        <v>0</v>
      </c>
      <c r="E77" s="42">
        <f t="shared" si="20"/>
        <v>44311</v>
      </c>
      <c r="F77" s="42">
        <v>44651</v>
      </c>
      <c r="G77" s="38">
        <f t="shared" si="21"/>
        <v>341</v>
      </c>
      <c r="H77" s="38">
        <v>365</v>
      </c>
      <c r="I77" s="37">
        <f t="shared" si="22"/>
        <v>0</v>
      </c>
      <c r="J77" s="77">
        <f t="shared" si="23"/>
        <v>0</v>
      </c>
    </row>
    <row r="78" spans="1:14" ht="19.5" customHeight="1">
      <c r="B78" s="42">
        <v>44341</v>
      </c>
      <c r="C78" s="38" t="s">
        <v>4</v>
      </c>
      <c r="D78" s="43">
        <v>0</v>
      </c>
      <c r="E78" s="42">
        <f t="shared" si="20"/>
        <v>44341</v>
      </c>
      <c r="F78" s="42">
        <v>44651</v>
      </c>
      <c r="G78" s="38">
        <f t="shared" si="21"/>
        <v>311</v>
      </c>
      <c r="H78" s="38">
        <v>365</v>
      </c>
      <c r="I78" s="37">
        <f t="shared" si="22"/>
        <v>0</v>
      </c>
      <c r="J78" s="77">
        <f t="shared" si="23"/>
        <v>0</v>
      </c>
    </row>
    <row r="79" spans="1:14" ht="19.5" customHeight="1">
      <c r="B79" s="42">
        <v>44372</v>
      </c>
      <c r="C79" s="38" t="s">
        <v>4</v>
      </c>
      <c r="D79" s="43">
        <v>0</v>
      </c>
      <c r="E79" s="42">
        <f t="shared" si="20"/>
        <v>44372</v>
      </c>
      <c r="F79" s="42">
        <v>44651</v>
      </c>
      <c r="G79" s="38">
        <f t="shared" si="21"/>
        <v>280</v>
      </c>
      <c r="H79" s="38">
        <v>365</v>
      </c>
      <c r="I79" s="37">
        <f t="shared" si="22"/>
        <v>0</v>
      </c>
      <c r="J79" s="77">
        <f t="shared" si="23"/>
        <v>0</v>
      </c>
    </row>
    <row r="80" spans="1:14" ht="19.5" customHeight="1">
      <c r="B80" s="42">
        <v>44402</v>
      </c>
      <c r="C80" s="38" t="s">
        <v>4</v>
      </c>
      <c r="D80" s="43">
        <v>0</v>
      </c>
      <c r="E80" s="42">
        <f t="shared" si="20"/>
        <v>44402</v>
      </c>
      <c r="F80" s="42">
        <v>44651</v>
      </c>
      <c r="G80" s="38">
        <f t="shared" si="21"/>
        <v>250</v>
      </c>
      <c r="H80" s="38">
        <v>365</v>
      </c>
      <c r="I80" s="37">
        <f t="shared" si="22"/>
        <v>0</v>
      </c>
      <c r="J80" s="77">
        <f t="shared" si="23"/>
        <v>0</v>
      </c>
    </row>
    <row r="81" spans="1:14" ht="19.5" customHeight="1">
      <c r="B81" s="42">
        <v>44433</v>
      </c>
      <c r="C81" s="38" t="s">
        <v>4</v>
      </c>
      <c r="D81" s="43">
        <v>0</v>
      </c>
      <c r="E81" s="42">
        <f t="shared" si="20"/>
        <v>44433</v>
      </c>
      <c r="F81" s="42">
        <v>44651</v>
      </c>
      <c r="G81" s="38">
        <f t="shared" si="21"/>
        <v>219</v>
      </c>
      <c r="H81" s="38">
        <v>365</v>
      </c>
      <c r="I81" s="37">
        <f t="shared" si="22"/>
        <v>0</v>
      </c>
      <c r="J81" s="77">
        <f t="shared" si="23"/>
        <v>0</v>
      </c>
    </row>
    <row r="82" spans="1:14" ht="19.5" customHeight="1">
      <c r="B82" s="42">
        <v>44464</v>
      </c>
      <c r="C82" s="38" t="s">
        <v>4</v>
      </c>
      <c r="D82" s="43">
        <v>0</v>
      </c>
      <c r="E82" s="42">
        <f t="shared" si="20"/>
        <v>44464</v>
      </c>
      <c r="F82" s="42">
        <v>44651</v>
      </c>
      <c r="G82" s="38">
        <f t="shared" si="21"/>
        <v>188</v>
      </c>
      <c r="H82" s="38">
        <v>365</v>
      </c>
      <c r="I82" s="37">
        <f t="shared" si="22"/>
        <v>0</v>
      </c>
      <c r="J82" s="77">
        <f t="shared" si="23"/>
        <v>0</v>
      </c>
    </row>
    <row r="83" spans="1:14" ht="19.5" customHeight="1">
      <c r="B83" s="42">
        <v>44494</v>
      </c>
      <c r="C83" s="38" t="s">
        <v>4</v>
      </c>
      <c r="D83" s="43">
        <v>0</v>
      </c>
      <c r="E83" s="42">
        <f t="shared" si="20"/>
        <v>44494</v>
      </c>
      <c r="F83" s="42">
        <v>44651</v>
      </c>
      <c r="G83" s="38">
        <f t="shared" si="21"/>
        <v>158</v>
      </c>
      <c r="H83" s="38">
        <v>365</v>
      </c>
      <c r="I83" s="37">
        <f t="shared" si="22"/>
        <v>0</v>
      </c>
      <c r="J83" s="77">
        <f t="shared" si="23"/>
        <v>0</v>
      </c>
    </row>
    <row r="84" spans="1:14" ht="19.5" customHeight="1">
      <c r="B84" s="42">
        <v>44525</v>
      </c>
      <c r="C84" s="38" t="s">
        <v>4</v>
      </c>
      <c r="D84" s="43">
        <v>0</v>
      </c>
      <c r="E84" s="42">
        <f t="shared" si="20"/>
        <v>44525</v>
      </c>
      <c r="F84" s="42">
        <v>44651</v>
      </c>
      <c r="G84" s="38">
        <f t="shared" si="21"/>
        <v>127</v>
      </c>
      <c r="H84" s="38">
        <v>365</v>
      </c>
      <c r="I84" s="37">
        <f t="shared" si="22"/>
        <v>0</v>
      </c>
      <c r="J84" s="77">
        <f t="shared" si="23"/>
        <v>0</v>
      </c>
    </row>
    <row r="85" spans="1:14" ht="19.5" customHeight="1">
      <c r="B85" s="42">
        <v>44555</v>
      </c>
      <c r="C85" s="38" t="s">
        <v>4</v>
      </c>
      <c r="D85" s="43">
        <v>0</v>
      </c>
      <c r="E85" s="42">
        <f t="shared" si="20"/>
        <v>44555</v>
      </c>
      <c r="F85" s="42">
        <v>44651</v>
      </c>
      <c r="G85" s="38">
        <f t="shared" si="21"/>
        <v>97</v>
      </c>
      <c r="H85" s="38">
        <v>365</v>
      </c>
      <c r="I85" s="37">
        <f t="shared" si="22"/>
        <v>0</v>
      </c>
      <c r="J85" s="77">
        <f t="shared" si="23"/>
        <v>0</v>
      </c>
    </row>
    <row r="86" spans="1:14" ht="19.5" customHeight="1" thickBot="1">
      <c r="B86" s="42">
        <v>44586</v>
      </c>
      <c r="C86" s="38" t="s">
        <v>4</v>
      </c>
      <c r="D86" s="43">
        <v>0</v>
      </c>
      <c r="E86" s="42">
        <f t="shared" si="20"/>
        <v>44586</v>
      </c>
      <c r="F86" s="42">
        <v>44651</v>
      </c>
      <c r="G86" s="38">
        <f t="shared" si="21"/>
        <v>66</v>
      </c>
      <c r="H86" s="38">
        <v>365</v>
      </c>
      <c r="I86" s="37">
        <f t="shared" si="22"/>
        <v>0</v>
      </c>
      <c r="J86" s="77">
        <f t="shared" si="23"/>
        <v>0</v>
      </c>
    </row>
    <row r="87" spans="1:14" ht="19.5" customHeight="1" thickBot="1">
      <c r="B87" s="42">
        <v>44617</v>
      </c>
      <c r="C87" s="38" t="s">
        <v>4</v>
      </c>
      <c r="D87" s="43">
        <v>0</v>
      </c>
      <c r="E87" s="42">
        <f t="shared" si="20"/>
        <v>44617</v>
      </c>
      <c r="F87" s="42">
        <v>44651</v>
      </c>
      <c r="G87" s="38">
        <f t="shared" si="21"/>
        <v>35</v>
      </c>
      <c r="H87" s="38">
        <v>365</v>
      </c>
      <c r="I87" s="37">
        <f t="shared" si="22"/>
        <v>0</v>
      </c>
      <c r="J87" s="77">
        <f t="shared" si="23"/>
        <v>0</v>
      </c>
      <c r="K87" s="99" t="s">
        <v>15</v>
      </c>
      <c r="L87" s="100"/>
      <c r="M87" s="100"/>
      <c r="N87" s="101"/>
    </row>
    <row r="88" spans="1:14" ht="19.5" customHeight="1">
      <c r="B88" s="42">
        <v>44645</v>
      </c>
      <c r="C88" s="38" t="s">
        <v>4</v>
      </c>
      <c r="D88" s="43">
        <v>0</v>
      </c>
      <c r="E88" s="42">
        <f t="shared" si="20"/>
        <v>44645</v>
      </c>
      <c r="F88" s="42">
        <v>44651</v>
      </c>
      <c r="G88" s="38">
        <f t="shared" si="21"/>
        <v>7</v>
      </c>
      <c r="H88" s="38">
        <v>365</v>
      </c>
      <c r="I88" s="37">
        <f t="shared" si="22"/>
        <v>0</v>
      </c>
      <c r="J88" s="77">
        <f t="shared" si="23"/>
        <v>0</v>
      </c>
      <c r="K88" s="44" t="s">
        <v>11</v>
      </c>
      <c r="L88" s="45" t="s">
        <v>12</v>
      </c>
      <c r="M88" s="45" t="s">
        <v>13</v>
      </c>
      <c r="N88" s="46" t="s">
        <v>14</v>
      </c>
    </row>
    <row r="89" spans="1:14" ht="19.5" customHeight="1" thickBot="1">
      <c r="D89" s="43">
        <f>SUM(D76:D88)</f>
        <v>5510715</v>
      </c>
      <c r="J89" s="77">
        <f>SUM(J76:J88)</f>
        <v>5510700</v>
      </c>
      <c r="K89" s="47">
        <f>ROUNDDOWN(J89*1.6/100,0)</f>
        <v>88171</v>
      </c>
      <c r="L89" s="48">
        <f>ROUNDDOWN(K89*0.15315,0)</f>
        <v>13503</v>
      </c>
      <c r="M89" s="41">
        <f>ROUNDDOWN(K89*0.05,0)</f>
        <v>4408</v>
      </c>
      <c r="N89" s="49">
        <f>K89-L89-M89</f>
        <v>70260</v>
      </c>
    </row>
    <row r="90" spans="1:14" ht="19.5" customHeight="1">
      <c r="A90" s="38" t="s">
        <v>35</v>
      </c>
      <c r="B90" s="42">
        <v>44652</v>
      </c>
      <c r="C90" s="38" t="s">
        <v>5</v>
      </c>
      <c r="D90" s="51">
        <f>D89+N89</f>
        <v>5580975</v>
      </c>
      <c r="E90" s="42">
        <f t="shared" ref="E90:E102" si="24">B90</f>
        <v>44652</v>
      </c>
      <c r="F90" s="42">
        <v>45016</v>
      </c>
      <c r="G90" s="38">
        <f t="shared" ref="G90:G102" si="25">F90-B90+1</f>
        <v>365</v>
      </c>
      <c r="H90" s="38">
        <v>365</v>
      </c>
      <c r="I90" s="37">
        <f t="shared" ref="I90:I102" si="26">ROUNDDOWN(D90/100,0)*100</f>
        <v>5580900</v>
      </c>
      <c r="J90" s="79">
        <f t="shared" ref="J90:J102" si="27">ROUNDDOWN(I90*G90/H90,0)</f>
        <v>5580900</v>
      </c>
      <c r="L90" s="38" t="s">
        <v>16</v>
      </c>
    </row>
    <row r="91" spans="1:14" ht="19.5" customHeight="1">
      <c r="B91" s="42">
        <v>44676</v>
      </c>
      <c r="C91" s="38" t="s">
        <v>4</v>
      </c>
      <c r="D91" s="43">
        <v>0</v>
      </c>
      <c r="E91" s="42">
        <f t="shared" si="24"/>
        <v>44676</v>
      </c>
      <c r="F91" s="42">
        <v>45016</v>
      </c>
      <c r="G91" s="38">
        <f t="shared" si="25"/>
        <v>341</v>
      </c>
      <c r="H91" s="38">
        <v>365</v>
      </c>
      <c r="I91" s="37">
        <f t="shared" si="26"/>
        <v>0</v>
      </c>
      <c r="J91" s="79">
        <f t="shared" si="27"/>
        <v>0</v>
      </c>
    </row>
    <row r="92" spans="1:14" ht="19.5" customHeight="1">
      <c r="B92" s="42">
        <v>44706</v>
      </c>
      <c r="C92" s="38" t="s">
        <v>4</v>
      </c>
      <c r="D92" s="43">
        <v>0</v>
      </c>
      <c r="E92" s="42">
        <f t="shared" si="24"/>
        <v>44706</v>
      </c>
      <c r="F92" s="42">
        <v>45016</v>
      </c>
      <c r="G92" s="38">
        <f t="shared" si="25"/>
        <v>311</v>
      </c>
      <c r="H92" s="38">
        <v>365</v>
      </c>
      <c r="I92" s="37">
        <f t="shared" si="26"/>
        <v>0</v>
      </c>
      <c r="J92" s="79">
        <f t="shared" si="27"/>
        <v>0</v>
      </c>
    </row>
    <row r="93" spans="1:14" ht="19.5" customHeight="1">
      <c r="B93" s="42">
        <v>44737</v>
      </c>
      <c r="C93" s="38" t="s">
        <v>4</v>
      </c>
      <c r="D93" s="43">
        <v>0</v>
      </c>
      <c r="E93" s="42">
        <f t="shared" si="24"/>
        <v>44737</v>
      </c>
      <c r="F93" s="42">
        <v>45016</v>
      </c>
      <c r="G93" s="38">
        <f t="shared" si="25"/>
        <v>280</v>
      </c>
      <c r="H93" s="38">
        <v>365</v>
      </c>
      <c r="I93" s="37">
        <f t="shared" si="26"/>
        <v>0</v>
      </c>
      <c r="J93" s="79">
        <f t="shared" si="27"/>
        <v>0</v>
      </c>
    </row>
    <row r="94" spans="1:14" ht="19.5" customHeight="1">
      <c r="B94" s="42">
        <v>44767</v>
      </c>
      <c r="C94" s="38" t="s">
        <v>4</v>
      </c>
      <c r="D94" s="43">
        <v>0</v>
      </c>
      <c r="E94" s="42">
        <f t="shared" si="24"/>
        <v>44767</v>
      </c>
      <c r="F94" s="42">
        <v>45016</v>
      </c>
      <c r="G94" s="38">
        <f t="shared" si="25"/>
        <v>250</v>
      </c>
      <c r="H94" s="38">
        <v>365</v>
      </c>
      <c r="I94" s="37">
        <f t="shared" si="26"/>
        <v>0</v>
      </c>
      <c r="J94" s="79">
        <f t="shared" si="27"/>
        <v>0</v>
      </c>
    </row>
    <row r="95" spans="1:14" ht="19.5" customHeight="1">
      <c r="B95" s="42">
        <v>44798</v>
      </c>
      <c r="C95" s="38" t="s">
        <v>4</v>
      </c>
      <c r="D95" s="43">
        <v>0</v>
      </c>
      <c r="E95" s="42">
        <f t="shared" si="24"/>
        <v>44798</v>
      </c>
      <c r="F95" s="42">
        <v>45016</v>
      </c>
      <c r="G95" s="38">
        <f t="shared" si="25"/>
        <v>219</v>
      </c>
      <c r="H95" s="38">
        <v>365</v>
      </c>
      <c r="I95" s="37">
        <f t="shared" si="26"/>
        <v>0</v>
      </c>
      <c r="J95" s="79">
        <f t="shared" si="27"/>
        <v>0</v>
      </c>
    </row>
    <row r="96" spans="1:14" ht="19.5" customHeight="1">
      <c r="B96" s="42">
        <v>44829</v>
      </c>
      <c r="C96" s="38" t="s">
        <v>4</v>
      </c>
      <c r="D96" s="43">
        <v>0</v>
      </c>
      <c r="E96" s="42">
        <f t="shared" si="24"/>
        <v>44829</v>
      </c>
      <c r="F96" s="42">
        <v>45016</v>
      </c>
      <c r="G96" s="38">
        <f t="shared" si="25"/>
        <v>188</v>
      </c>
      <c r="H96" s="38">
        <v>365</v>
      </c>
      <c r="I96" s="37">
        <f t="shared" si="26"/>
        <v>0</v>
      </c>
      <c r="J96" s="79">
        <f t="shared" si="27"/>
        <v>0</v>
      </c>
    </row>
    <row r="97" spans="2:14" ht="19.5" customHeight="1">
      <c r="B97" s="42">
        <v>44859</v>
      </c>
      <c r="C97" s="38" t="s">
        <v>4</v>
      </c>
      <c r="D97" s="43">
        <v>0</v>
      </c>
      <c r="E97" s="42">
        <f t="shared" si="24"/>
        <v>44859</v>
      </c>
      <c r="F97" s="42">
        <v>45016</v>
      </c>
      <c r="G97" s="38">
        <f t="shared" si="25"/>
        <v>158</v>
      </c>
      <c r="H97" s="38">
        <v>365</v>
      </c>
      <c r="I97" s="37">
        <f t="shared" si="26"/>
        <v>0</v>
      </c>
      <c r="J97" s="79">
        <f t="shared" si="27"/>
        <v>0</v>
      </c>
    </row>
    <row r="98" spans="2:14" ht="19.5" customHeight="1">
      <c r="B98" s="42">
        <v>44890</v>
      </c>
      <c r="C98" s="38" t="s">
        <v>4</v>
      </c>
      <c r="D98" s="43">
        <v>0</v>
      </c>
      <c r="E98" s="42">
        <f t="shared" si="24"/>
        <v>44890</v>
      </c>
      <c r="F98" s="42">
        <v>45016</v>
      </c>
      <c r="G98" s="38">
        <f t="shared" si="25"/>
        <v>127</v>
      </c>
      <c r="H98" s="38">
        <v>365</v>
      </c>
      <c r="I98" s="37">
        <f t="shared" si="26"/>
        <v>0</v>
      </c>
      <c r="J98" s="79">
        <f t="shared" si="27"/>
        <v>0</v>
      </c>
    </row>
    <row r="99" spans="2:14" ht="19.5" customHeight="1">
      <c r="B99" s="42">
        <v>44920</v>
      </c>
      <c r="C99" s="38" t="s">
        <v>4</v>
      </c>
      <c r="D99" s="43">
        <v>0</v>
      </c>
      <c r="E99" s="42">
        <f t="shared" si="24"/>
        <v>44920</v>
      </c>
      <c r="F99" s="42">
        <v>45016</v>
      </c>
      <c r="G99" s="38">
        <f t="shared" si="25"/>
        <v>97</v>
      </c>
      <c r="H99" s="38">
        <v>365</v>
      </c>
      <c r="I99" s="37">
        <f t="shared" si="26"/>
        <v>0</v>
      </c>
      <c r="J99" s="79">
        <f t="shared" si="27"/>
        <v>0</v>
      </c>
    </row>
    <row r="100" spans="2:14" ht="19.5" customHeight="1" thickBot="1">
      <c r="B100" s="42">
        <v>44951</v>
      </c>
      <c r="C100" s="38" t="s">
        <v>4</v>
      </c>
      <c r="D100" s="43">
        <v>0</v>
      </c>
      <c r="E100" s="42">
        <f t="shared" si="24"/>
        <v>44951</v>
      </c>
      <c r="F100" s="42">
        <v>45016</v>
      </c>
      <c r="G100" s="38">
        <f t="shared" si="25"/>
        <v>66</v>
      </c>
      <c r="H100" s="38">
        <v>365</v>
      </c>
      <c r="I100" s="37">
        <f t="shared" si="26"/>
        <v>0</v>
      </c>
      <c r="J100" s="79">
        <f t="shared" si="27"/>
        <v>0</v>
      </c>
    </row>
    <row r="101" spans="2:14" ht="19.5" customHeight="1" thickBot="1">
      <c r="B101" s="42">
        <v>44982</v>
      </c>
      <c r="C101" s="38" t="s">
        <v>4</v>
      </c>
      <c r="D101" s="43">
        <v>0</v>
      </c>
      <c r="E101" s="42">
        <f t="shared" si="24"/>
        <v>44982</v>
      </c>
      <c r="F101" s="42">
        <v>45016</v>
      </c>
      <c r="G101" s="38">
        <f t="shared" si="25"/>
        <v>35</v>
      </c>
      <c r="H101" s="38">
        <v>365</v>
      </c>
      <c r="I101" s="37">
        <f t="shared" si="26"/>
        <v>0</v>
      </c>
      <c r="J101" s="79">
        <f t="shared" si="27"/>
        <v>0</v>
      </c>
      <c r="K101" s="99" t="s">
        <v>15</v>
      </c>
      <c r="L101" s="100"/>
      <c r="M101" s="100"/>
      <c r="N101" s="101"/>
    </row>
    <row r="102" spans="2:14" ht="19.5" customHeight="1">
      <c r="B102" s="42">
        <v>45010</v>
      </c>
      <c r="C102" s="38" t="s">
        <v>4</v>
      </c>
      <c r="D102" s="43">
        <v>0</v>
      </c>
      <c r="E102" s="42">
        <f t="shared" si="24"/>
        <v>45010</v>
      </c>
      <c r="F102" s="42">
        <v>45016</v>
      </c>
      <c r="G102" s="38">
        <f t="shared" si="25"/>
        <v>7</v>
      </c>
      <c r="H102" s="38">
        <v>365</v>
      </c>
      <c r="I102" s="37">
        <f t="shared" si="26"/>
        <v>0</v>
      </c>
      <c r="J102" s="79">
        <f t="shared" si="27"/>
        <v>0</v>
      </c>
      <c r="K102" s="44" t="s">
        <v>11</v>
      </c>
      <c r="L102" s="45" t="s">
        <v>12</v>
      </c>
      <c r="M102" s="45" t="s">
        <v>13</v>
      </c>
      <c r="N102" s="46" t="s">
        <v>14</v>
      </c>
    </row>
    <row r="103" spans="2:14" ht="19.5" customHeight="1" thickBot="1">
      <c r="D103" s="43">
        <f>SUM(D90:D102)</f>
        <v>5580975</v>
      </c>
      <c r="J103" s="79">
        <f>SUM(J90:J102)</f>
        <v>5580900</v>
      </c>
      <c r="K103" s="47">
        <f>ROUNDDOWN(J103*1.6/100,0)</f>
        <v>89294</v>
      </c>
      <c r="L103" s="48">
        <f>ROUNDDOWN(K103*0.15315,0)</f>
        <v>13675</v>
      </c>
      <c r="M103" s="41">
        <f>ROUNDDOWN(K103*0.05,0)</f>
        <v>4464</v>
      </c>
      <c r="N103" s="49">
        <f>K103-L103-M103</f>
        <v>71155</v>
      </c>
    </row>
    <row r="104" spans="2:14" ht="19.5" customHeight="1">
      <c r="B104" s="42">
        <v>45017</v>
      </c>
      <c r="C104" s="38" t="s">
        <v>5</v>
      </c>
      <c r="D104" s="43">
        <f>D103+N103</f>
        <v>5652130</v>
      </c>
      <c r="E104" s="42">
        <f>B104</f>
        <v>45017</v>
      </c>
      <c r="F104" s="42">
        <v>45382</v>
      </c>
      <c r="G104" s="38">
        <f>F104-B104+1</f>
        <v>366</v>
      </c>
      <c r="H104" s="38">
        <v>365</v>
      </c>
      <c r="I104" s="37">
        <f>ROUNDDOWN(D104/100,0)*100</f>
        <v>5652100</v>
      </c>
      <c r="J104" s="79">
        <f>ROUNDDOWN(I104*G104/H104,0)</f>
        <v>5667585</v>
      </c>
      <c r="L104" s="38" t="s">
        <v>16</v>
      </c>
    </row>
  </sheetData>
  <mergeCells count="9">
    <mergeCell ref="K73:N73"/>
    <mergeCell ref="K87:N87"/>
    <mergeCell ref="K101:N101"/>
    <mergeCell ref="A1:H1"/>
    <mergeCell ref="K15:N15"/>
    <mergeCell ref="K30:N30"/>
    <mergeCell ref="K45:N45"/>
    <mergeCell ref="K50:N50"/>
    <mergeCell ref="K59:N59"/>
  </mergeCells>
  <phoneticPr fontId="2"/>
  <pageMargins left="0.74803149606299213" right="0.74803149606299213" top="0.98425196850393704" bottom="0.98425196850393704" header="0.51181102362204722" footer="0.51181102362204722"/>
  <pageSetup paperSize="9" scale="70" orientation="landscape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6E0ADC-BBB4-4630-815E-BDDD55BDB7B0}">
  <sheetPr>
    <tabColor theme="7"/>
  </sheetPr>
  <dimension ref="A1:T201"/>
  <sheetViews>
    <sheetView showGridLines="0" tabSelected="1" zoomScaleNormal="100" zoomScaleSheetLayoutView="100" workbookViewId="0">
      <selection activeCell="E6" sqref="E6"/>
    </sheetView>
  </sheetViews>
  <sheetFormatPr defaultRowHeight="18" customHeight="1"/>
  <cols>
    <col min="1" max="1" width="8.5" style="111" bestFit="1" customWidth="1"/>
    <col min="2" max="2" width="5.625" style="111" customWidth="1"/>
    <col min="3" max="4" width="3.25" style="111" bestFit="1" customWidth="1"/>
    <col min="5" max="5" width="14.125" style="111" bestFit="1" customWidth="1"/>
    <col min="6" max="7" width="12.625" style="111" customWidth="1"/>
    <col min="8" max="8" width="10.25" style="111" hidden="1" customWidth="1"/>
    <col min="9" max="10" width="8.5" style="111" hidden="1" customWidth="1"/>
    <col min="11" max="11" width="12.625" style="111" hidden="1" customWidth="1"/>
    <col min="12" max="12" width="12.625" style="112" hidden="1" customWidth="1"/>
    <col min="13" max="13" width="8.5" style="113" hidden="1" customWidth="1"/>
    <col min="14" max="14" width="5" style="143" hidden="1" customWidth="1"/>
    <col min="15" max="15" width="3.25" style="113" hidden="1" customWidth="1"/>
    <col min="16" max="16" width="10.625" style="113" customWidth="1"/>
    <col min="17" max="20" width="10.625" style="111" customWidth="1"/>
    <col min="21" max="25" width="10.75" style="111" customWidth="1"/>
    <col min="26" max="16384" width="9" style="111"/>
  </cols>
  <sheetData>
    <row r="1" spans="1:20" ht="24" customHeight="1">
      <c r="A1" s="110" t="s">
        <v>91</v>
      </c>
      <c r="M1" s="113" t="s">
        <v>51</v>
      </c>
      <c r="N1" s="114" t="s">
        <v>52</v>
      </c>
      <c r="O1" s="115" t="s">
        <v>53</v>
      </c>
    </row>
    <row r="2" spans="1:20" ht="18" customHeight="1">
      <c r="A2" s="111" t="s">
        <v>90</v>
      </c>
      <c r="M2" s="113" t="s">
        <v>59</v>
      </c>
      <c r="N2" s="116">
        <v>2024</v>
      </c>
      <c r="O2" s="117">
        <v>4</v>
      </c>
    </row>
    <row r="3" spans="1:20" ht="18" customHeight="1">
      <c r="A3" s="111" t="s">
        <v>74</v>
      </c>
      <c r="M3" s="113" t="s">
        <v>60</v>
      </c>
      <c r="N3" s="116">
        <v>2025</v>
      </c>
      <c r="O3" s="117">
        <v>5</v>
      </c>
    </row>
    <row r="4" spans="1:20" ht="18" customHeight="1">
      <c r="M4" s="113" t="s">
        <v>61</v>
      </c>
      <c r="N4" s="116">
        <v>2026</v>
      </c>
      <c r="O4" s="117">
        <v>6</v>
      </c>
    </row>
    <row r="5" spans="1:20" ht="18" customHeight="1" thickBot="1">
      <c r="B5" s="111" t="s">
        <v>75</v>
      </c>
      <c r="G5" s="178" t="str">
        <f>IF(OR($E$6="",$E$7=""),"",CONCATENATE("★",ROUNDDOWN(DATEDIF(DATEVALUE(CONCATENATE($B$16,"/",$C$16,"/",$D$16)),$E$110,"M")/12,0),"年",MOD(DATEDIF(DATEVALUE(CONCATENATE($B$16,"/",$C$16,"/",$D$16)),$E$110,"M"),12),"か月後の共済貯金残高"))</f>
        <v/>
      </c>
      <c r="M5" s="113" t="s">
        <v>62</v>
      </c>
      <c r="N5" s="116">
        <v>2027</v>
      </c>
      <c r="O5" s="117">
        <v>7</v>
      </c>
      <c r="R5" s="178" t="str">
        <f>IF(OR($E$6="",$E$7=""),"",CONCATENATE("★",ROUNDDOWN(DATEDIF(DATEVALUE(CONCATENATE($B$16,"/",$C$16,"/",$D$16)),$E$110,"M")/12,0),"年",MOD(DATEDIF(DATEVALUE(CONCATENATE($B$16,"/",$C$16,"/",$D$16)),$E$110,"M"),12),"か月後までの利息累計額(税引後)"))</f>
        <v/>
      </c>
    </row>
    <row r="6" spans="1:20" ht="18" customHeight="1" thickTop="1">
      <c r="B6" s="118" t="s">
        <v>83</v>
      </c>
      <c r="C6" s="118"/>
      <c r="D6" s="118"/>
      <c r="E6" s="144"/>
      <c r="M6" s="119" t="s">
        <v>63</v>
      </c>
      <c r="N6" s="116">
        <v>2028</v>
      </c>
      <c r="O6" s="117">
        <v>8</v>
      </c>
      <c r="P6" s="146" t="str">
        <f>IF(Q105="","",Q105)</f>
        <v/>
      </c>
      <c r="Q6" s="147"/>
      <c r="S6" s="146" t="str">
        <f>IF($Q$105="","",SUM($R$26,$R$44,$R$63,$R$82,$R$101))</f>
        <v/>
      </c>
      <c r="T6" s="147"/>
    </row>
    <row r="7" spans="1:20" ht="18" customHeight="1" thickBot="1">
      <c r="B7" s="118" t="s">
        <v>84</v>
      </c>
      <c r="C7" s="118"/>
      <c r="D7" s="118"/>
      <c r="E7" s="145"/>
      <c r="M7" s="115" t="s">
        <v>64</v>
      </c>
      <c r="N7" s="116">
        <v>2029</v>
      </c>
      <c r="O7" s="117">
        <v>9</v>
      </c>
      <c r="P7" s="148"/>
      <c r="Q7" s="149"/>
      <c r="S7" s="148"/>
      <c r="T7" s="149"/>
    </row>
    <row r="8" spans="1:20" ht="18" customHeight="1" thickTop="1">
      <c r="E8" s="120"/>
      <c r="M8" s="117"/>
      <c r="N8" s="116">
        <v>2030</v>
      </c>
      <c r="O8" s="117">
        <v>10</v>
      </c>
      <c r="S8" s="112"/>
    </row>
    <row r="9" spans="1:20" ht="18" customHeight="1" thickBot="1">
      <c r="B9" s="111" t="s">
        <v>76</v>
      </c>
      <c r="G9" s="178" t="str">
        <f>IF(OR($E$6="",$E$7=""),"",CONCATENATE("★",ROUNDDOWN(DATEDIF(DATEVALUE(CONCATENATE($B$16,"/",$C$16,"/",$D$16)),$E$200+7,"M")/12,0),"年",MOD(DATEDIF(DATEVALUE(CONCATENATE($B$16,"/",$C$16,"/",$D$16)),$E$200+7,"M"),12),"か月後の共済貯金残高"))</f>
        <v/>
      </c>
      <c r="M9" s="117"/>
      <c r="N9" s="116">
        <v>2031</v>
      </c>
      <c r="O9" s="117">
        <v>11</v>
      </c>
      <c r="R9" s="178" t="str">
        <f>IF(OR($E$6="",$E$7=""),"",CONCATENATE("★",ROUNDDOWN(DATEDIF(DATEVALUE(CONCATENATE($B$16,"/",$C$16,"/",$D$16)),$E$200+7,"M")/12,0),"年",MOD(DATEDIF(DATEVALUE(CONCATENATE($B$16,"/",$C$16,"/",$D$16)),$E$200+7,"M"),12),"か月後までの利息累計額(税引後)"))</f>
        <v/>
      </c>
    </row>
    <row r="10" spans="1:20" ht="18" customHeight="1" thickTop="1">
      <c r="B10" s="118" t="s">
        <v>72</v>
      </c>
      <c r="C10" s="118"/>
      <c r="D10" s="118"/>
      <c r="E10" s="93"/>
      <c r="M10" s="117"/>
      <c r="N10" s="116">
        <v>2032</v>
      </c>
      <c r="O10" s="117">
        <v>12</v>
      </c>
      <c r="P10" s="146" t="str">
        <f>IF(Q200="","",Q200)</f>
        <v/>
      </c>
      <c r="Q10" s="147"/>
      <c r="S10" s="146" t="str">
        <f>IF($Q$200="","",SUM($R$26,$R$44,$R$63,$R$82,$R$101,$R$120,$R$139,$R$158,$R$177,$R$196))</f>
        <v/>
      </c>
      <c r="T10" s="147"/>
    </row>
    <row r="11" spans="1:20" ht="18" customHeight="1" thickBot="1">
      <c r="B11" s="118" t="s">
        <v>73</v>
      </c>
      <c r="C11" s="118"/>
      <c r="D11" s="118"/>
      <c r="E11" s="93"/>
      <c r="M11" s="117"/>
      <c r="N11" s="116">
        <v>2033</v>
      </c>
      <c r="O11" s="117">
        <v>1</v>
      </c>
      <c r="P11" s="148"/>
      <c r="Q11" s="149"/>
      <c r="S11" s="148"/>
      <c r="T11" s="149"/>
    </row>
    <row r="12" spans="1:20" ht="18" customHeight="1" thickTop="1">
      <c r="M12" s="117"/>
      <c r="N12" s="116">
        <v>2034</v>
      </c>
      <c r="O12" s="117">
        <v>2</v>
      </c>
    </row>
    <row r="13" spans="1:20" ht="18" customHeight="1">
      <c r="A13" s="111" t="s">
        <v>67</v>
      </c>
      <c r="M13" s="117"/>
      <c r="N13" s="116">
        <v>2035</v>
      </c>
      <c r="O13" s="117">
        <v>3</v>
      </c>
    </row>
    <row r="14" spans="1:20" ht="18" customHeight="1">
      <c r="A14" s="150" t="s">
        <v>66</v>
      </c>
      <c r="B14" s="150" t="s">
        <v>56</v>
      </c>
      <c r="C14" s="150"/>
      <c r="D14" s="150"/>
      <c r="E14" s="150" t="s">
        <v>65</v>
      </c>
      <c r="F14" s="151" t="s">
        <v>77</v>
      </c>
      <c r="G14" s="152" t="s">
        <v>78</v>
      </c>
      <c r="H14" s="118" t="s">
        <v>7</v>
      </c>
      <c r="I14" s="118" t="s">
        <v>8</v>
      </c>
      <c r="J14" s="118" t="s">
        <v>9</v>
      </c>
      <c r="K14" s="123" t="s">
        <v>10</v>
      </c>
      <c r="L14" s="124" t="s">
        <v>55</v>
      </c>
      <c r="M14" s="117"/>
      <c r="N14" s="116">
        <v>2036</v>
      </c>
      <c r="O14" s="117"/>
      <c r="Q14" s="153" t="s">
        <v>50</v>
      </c>
      <c r="R14" s="179">
        <v>1.4999999999999999E-2</v>
      </c>
    </row>
    <row r="15" spans="1:20" ht="18" customHeight="1">
      <c r="A15" s="150"/>
      <c r="B15" s="153" t="s">
        <v>52</v>
      </c>
      <c r="C15" s="153" t="s">
        <v>53</v>
      </c>
      <c r="D15" s="153" t="s">
        <v>54</v>
      </c>
      <c r="E15" s="150"/>
      <c r="F15" s="154"/>
      <c r="G15" s="152"/>
      <c r="H15" s="118"/>
      <c r="I15" s="118"/>
      <c r="J15" s="118"/>
      <c r="K15" s="123"/>
      <c r="L15" s="124"/>
      <c r="M15" s="117"/>
      <c r="N15" s="116">
        <v>2037</v>
      </c>
      <c r="O15" s="117"/>
      <c r="P15" s="111"/>
      <c r="S15" s="127"/>
    </row>
    <row r="16" spans="1:20" ht="18" customHeight="1">
      <c r="A16" s="155" t="str">
        <f>IF(B16="","",IF(C16=12,"手当積立","定例積立"))</f>
        <v/>
      </c>
      <c r="B16" s="156" t="str">
        <f>IF(E6="","",E6)</f>
        <v/>
      </c>
      <c r="C16" s="156" t="str">
        <f>IF(E7="","",E7)</f>
        <v/>
      </c>
      <c r="D16" s="155" t="str">
        <f>IF(C16="","",1)</f>
        <v/>
      </c>
      <c r="E16" s="157" t="str">
        <f t="shared" ref="E16:E19" si="0">IF(OR(A16="",B16="",C16=""),"",IF(A16="定例積立",CONCATENATE(B16,"/",C16,"/","25"),IF(AND(A16="手当積立",C16=6),CONCATENATE(B16,"/",SUM(C16,1),"/","5"),IF(AND(A16="手当積立",C16=12),CONCATENATE(B16,"/",C16,"/","15"),CONCATENATE(B16,"/",C16,"/",D16)))))</f>
        <v/>
      </c>
      <c r="F16" s="158" t="str">
        <f>IF(ISERROR(VLOOKUP(A16,$B$10:$E$11,4,FALSE)),"",VLOOKUP(A16,$B$10:$E$11,4,FALSE))</f>
        <v/>
      </c>
      <c r="G16" s="158" t="str">
        <f>IF(A16="","",F16)</f>
        <v/>
      </c>
      <c r="H16" s="131" t="str">
        <f>IF(E16="","",IF(AND(C16&gt;=4,ISERROR(INDEX(E16:E29,MATCH($M$7,A16:A29,0)))),CONCATENATE(SUM(B16,1),"/3/31"),IF(AND(C16&lt;=3,ISERROR(INDEX(E16:E29,MATCH($M$7,A16:A29,0)))),CONCATENATE(B16,"/3/31"),INDEX(E16:E29,MATCH($M$7,A16:A29,0)))))</f>
        <v/>
      </c>
      <c r="I16" s="132" t="str">
        <f t="shared" ref="I16:I29" si="1">IF(E16="","",SUM((H16-E16),1))</f>
        <v/>
      </c>
      <c r="J16" s="133" t="str">
        <f>IF(OR(A16="",C16=""),"",H16-DATEVALUE(CONCATENATE(SUM(YEAR(H16),-1),"/3/31")))</f>
        <v/>
      </c>
      <c r="K16" s="134">
        <f>IF(ISERROR(ROUNDDOWN(G16/100,0)*100),0,ROUNDDOWN(G16/100,0)*100)</f>
        <v>0</v>
      </c>
      <c r="L16" s="135">
        <f t="shared" ref="L16:L29" si="2">IFERROR(ROUNDDOWN(K16*I16/J16,0),0)</f>
        <v>0</v>
      </c>
      <c r="M16" s="117"/>
      <c r="N16" s="116">
        <v>2038</v>
      </c>
      <c r="O16" s="117"/>
      <c r="P16" s="111"/>
      <c r="Q16" s="161" t="s">
        <v>57</v>
      </c>
      <c r="R16" s="162"/>
      <c r="S16" s="136"/>
    </row>
    <row r="17" spans="1:20" ht="18" customHeight="1">
      <c r="A17" s="155" t="str">
        <f>IF(B17="","",IF(AND(C16=6,C17=6),"手当積立",IF(AND(C17=12,C18=12),"手当積立","定例積立")))</f>
        <v/>
      </c>
      <c r="B17" s="156" t="str">
        <f>IF(C17="","",IF(AND(C15=12,C16=12),SUM(B16,1),B16))</f>
        <v/>
      </c>
      <c r="C17" s="156" t="str">
        <f>IF(OR(C16=3,C16=""),"",IF(OR(C16=6,C16=12),C16,SUM(C16,1)))</f>
        <v/>
      </c>
      <c r="D17" s="153"/>
      <c r="E17" s="157" t="str">
        <f t="shared" si="0"/>
        <v/>
      </c>
      <c r="F17" s="158" t="str">
        <f t="shared" ref="F17:F29" si="3">IF(ISERROR(VLOOKUP(A17,$B$10:$E$11,4,FALSE)),"",VLOOKUP(A17,$B$10:$E$11,4,FALSE))</f>
        <v/>
      </c>
      <c r="G17" s="158" t="str">
        <f>IF(A17="","",F17)</f>
        <v/>
      </c>
      <c r="H17" s="131" t="str">
        <f>IF(E17="","",IF(AND(C16&gt;=4,ISERROR(INDEX(E16:E29,MATCH($M$7,A16:A29,0)))),CONCATENATE(SUM(B16,1),"/3/31"),IF(AND(C16&lt;=3,ISERROR(INDEX(E16:E29,MATCH($M$7,A16:A29,0)))),CONCATENATE(B16,"/3/31"),INDEX(E16:E29,MATCH($M$7,A16:A29,0)))))</f>
        <v/>
      </c>
      <c r="I17" s="132" t="str">
        <f t="shared" si="1"/>
        <v/>
      </c>
      <c r="J17" s="133" t="str">
        <f t="shared" ref="J17:J29" si="4">IF(A17="","",H17-DATEVALUE(CONCATENATE(SUM(YEAR(H17),-1),"/3/31")))</f>
        <v/>
      </c>
      <c r="K17" s="134">
        <f t="shared" ref="K17:K29" si="5">IF(ISERROR(ROUNDDOWN(G17/100,0)*100),0,ROUNDDOWN(G17/100,0)*100)</f>
        <v>0</v>
      </c>
      <c r="L17" s="135">
        <f t="shared" si="2"/>
        <v>0</v>
      </c>
      <c r="M17" s="117"/>
      <c r="N17" s="116">
        <v>2039</v>
      </c>
      <c r="O17" s="117"/>
      <c r="P17" s="111"/>
      <c r="Q17" s="180">
        <v>0.15315000000000001</v>
      </c>
      <c r="R17" s="181"/>
    </row>
    <row r="18" spans="1:20" ht="18" customHeight="1">
      <c r="A18" s="155" t="str">
        <f t="shared" ref="A18:A28" si="6">IF(B18="","",IF(AND(C17=6,C18=6),"手当積立",IF(AND(C18=12,C19=12),"手当積立","定例積立")))</f>
        <v/>
      </c>
      <c r="B18" s="156" t="str">
        <f t="shared" ref="B18:B29" si="7">IF(C18="","",IF(AND(C16=12,C17=12),SUM(B17,1),B17))</f>
        <v/>
      </c>
      <c r="C18" s="156" t="str">
        <f>IF(OR(C17=3,C17=""),"",IF(AND(NOT(C16=6),C17=6),C17,IF(AND(NOT(C16=12),C17=12),12,IF(AND(C16=12,C17=12),1,SUM(C17,1)))))</f>
        <v/>
      </c>
      <c r="D18" s="153"/>
      <c r="E18" s="157" t="str">
        <f t="shared" si="0"/>
        <v/>
      </c>
      <c r="F18" s="158" t="str">
        <f t="shared" si="3"/>
        <v/>
      </c>
      <c r="G18" s="158" t="str">
        <f t="shared" ref="G18:G29" si="8">IF(A18="","",F18)</f>
        <v/>
      </c>
      <c r="H18" s="131" t="str">
        <f>IF(E18="","",IF(AND(C16&gt;=4,ISERROR(INDEX(E16:E29,MATCH($M$7,A16:A29,0)))),CONCATENATE(SUM(B16,1),"/3/31"),IF(AND(C16&lt;=3,ISERROR(INDEX(E16:E29,MATCH($M$7,A16:A29,0)))),CONCATENATE(B16,"/3/31"),INDEX(E16:E29,MATCH($M$7,A16:A29,0)))))</f>
        <v/>
      </c>
      <c r="I18" s="132" t="str">
        <f t="shared" si="1"/>
        <v/>
      </c>
      <c r="J18" s="133" t="str">
        <f t="shared" si="4"/>
        <v/>
      </c>
      <c r="K18" s="134">
        <f t="shared" si="5"/>
        <v>0</v>
      </c>
      <c r="L18" s="135">
        <f t="shared" si="2"/>
        <v>0</v>
      </c>
      <c r="M18" s="117"/>
      <c r="N18" s="116">
        <v>2040</v>
      </c>
      <c r="O18" s="117"/>
      <c r="P18" s="111"/>
    </row>
    <row r="19" spans="1:20" ht="18" customHeight="1">
      <c r="A19" s="155" t="str">
        <f t="shared" si="6"/>
        <v/>
      </c>
      <c r="B19" s="156" t="str">
        <f t="shared" si="7"/>
        <v/>
      </c>
      <c r="C19" s="156" t="str">
        <f t="shared" ref="C19:C29" si="9">IF(OR(C18=3,C18=""),"",IF(AND(NOT(C17=6),C18=6),C18,IF(AND(NOT(C17=12),C18=12),12,IF(AND(C17=12,C18=12),1,SUM(C18,1)))))</f>
        <v/>
      </c>
      <c r="D19" s="153"/>
      <c r="E19" s="157" t="str">
        <f t="shared" si="0"/>
        <v/>
      </c>
      <c r="F19" s="158" t="str">
        <f t="shared" si="3"/>
        <v/>
      </c>
      <c r="G19" s="158" t="str">
        <f t="shared" si="8"/>
        <v/>
      </c>
      <c r="H19" s="131" t="str">
        <f>IF(E19="","",IF(AND(C16&gt;=4,ISERROR(INDEX(E16:E29,MATCH($M$7,A16:A29,0)))),CONCATENATE(SUM(B16,1),"/3/31"),IF(AND(C16&lt;=3,ISERROR(INDEX(E16:E29,MATCH($M$7,A16:A29,0)))),CONCATENATE(B16,"/3/31"),INDEX(E16:E29,MATCH($M$7,A16:A29,0)))))</f>
        <v/>
      </c>
      <c r="I19" s="132" t="str">
        <f t="shared" si="1"/>
        <v/>
      </c>
      <c r="J19" s="133" t="str">
        <f t="shared" si="4"/>
        <v/>
      </c>
      <c r="K19" s="134">
        <f t="shared" si="5"/>
        <v>0</v>
      </c>
      <c r="L19" s="135">
        <f t="shared" si="2"/>
        <v>0</v>
      </c>
      <c r="M19" s="117"/>
      <c r="N19" s="116">
        <v>2041</v>
      </c>
      <c r="O19" s="117"/>
      <c r="P19" s="111"/>
      <c r="Q19" s="163" t="s">
        <v>13</v>
      </c>
      <c r="R19" s="182">
        <v>0.05</v>
      </c>
      <c r="S19" s="137"/>
      <c r="T19" s="137"/>
    </row>
    <row r="20" spans="1:20" ht="18" customHeight="1">
      <c r="A20" s="155" t="str">
        <f t="shared" si="6"/>
        <v/>
      </c>
      <c r="B20" s="156" t="str">
        <f t="shared" si="7"/>
        <v/>
      </c>
      <c r="C20" s="156" t="str">
        <f t="shared" si="9"/>
        <v/>
      </c>
      <c r="D20" s="153"/>
      <c r="E20" s="157" t="str">
        <f>IF(OR(A20="",B20="",C20=""),"",IF(A20="定例積立",CONCATENATE(B20,"/",C20,"/","25"),IF(AND(A20="手当積立",C20=6),CONCATENATE(B20,"/",SUM(C20,1),"/","5"),IF(AND(A20="手当積立",C20=12),CONCATENATE(B20,"/",C20,"/","15"),CONCATENATE(B20,"/",C20,"/",D20)))))</f>
        <v/>
      </c>
      <c r="F20" s="158" t="str">
        <f t="shared" si="3"/>
        <v/>
      </c>
      <c r="G20" s="158" t="str">
        <f t="shared" si="8"/>
        <v/>
      </c>
      <c r="H20" s="131" t="str">
        <f>IF(E20="","",IF(AND(C16&gt;=4,ISERROR(INDEX(E16:E29,MATCH($M$7,A16:A29,0)))),CONCATENATE(SUM(B16,1),"/3/31"),IF(AND(C16&lt;=3,ISERROR(INDEX(E16:E29,MATCH($M$7,A16:A29,0)))),CONCATENATE(B16,"/3/31"),INDEX(E16:E29,MATCH($M$7,A16:A29,0)))))</f>
        <v/>
      </c>
      <c r="I20" s="132" t="str">
        <f t="shared" si="1"/>
        <v/>
      </c>
      <c r="J20" s="133" t="str">
        <f t="shared" si="4"/>
        <v/>
      </c>
      <c r="K20" s="134">
        <f t="shared" si="5"/>
        <v>0</v>
      </c>
      <c r="L20" s="135">
        <f t="shared" si="2"/>
        <v>0</v>
      </c>
      <c r="M20" s="117"/>
      <c r="N20" s="116">
        <v>2042</v>
      </c>
      <c r="O20" s="117"/>
      <c r="P20" s="111"/>
      <c r="S20" s="112"/>
      <c r="T20" s="112"/>
    </row>
    <row r="21" spans="1:20" ht="18" customHeight="1">
      <c r="A21" s="155" t="str">
        <f t="shared" si="6"/>
        <v/>
      </c>
      <c r="B21" s="156" t="str">
        <f t="shared" si="7"/>
        <v/>
      </c>
      <c r="C21" s="156" t="str">
        <f t="shared" si="9"/>
        <v/>
      </c>
      <c r="D21" s="153"/>
      <c r="E21" s="157" t="str">
        <f t="shared" ref="E21:E29" si="10">IF(OR(A21="",B21="",C21=""),"",IF(A21="定例積立",CONCATENATE(B21,"/",C21,"/","25"),IF(AND(A21="手当積立",C21=6),CONCATENATE(B21,"/",SUM(C21,1),"/","5"),IF(AND(A21="手当積立",C21=12),CONCATENATE(B21,"/",C21,"/","15"),CONCATENATE(B21,"/",C21,"/",D21)))))</f>
        <v/>
      </c>
      <c r="F21" s="158" t="str">
        <f t="shared" si="3"/>
        <v/>
      </c>
      <c r="G21" s="158" t="str">
        <f t="shared" si="8"/>
        <v/>
      </c>
      <c r="H21" s="131" t="str">
        <f>IF(E21="","",IF(AND(C16&gt;=4,ISERROR(INDEX(E16:E29,MATCH($M$7,A16:A29,0)))),CONCATENATE(SUM(B16,1),"/3/31"),IF(AND(C16&lt;=3,ISERROR(INDEX(E16:E29,MATCH($M$7,A16:A29,0)))),CONCATENATE(B16,"/3/31"),INDEX(E16:E29,MATCH($M$7,A16:A29,0)))))</f>
        <v/>
      </c>
      <c r="I21" s="132" t="str">
        <f t="shared" si="1"/>
        <v/>
      </c>
      <c r="J21" s="133" t="str">
        <f t="shared" si="4"/>
        <v/>
      </c>
      <c r="K21" s="134">
        <f t="shared" si="5"/>
        <v>0</v>
      </c>
      <c r="L21" s="135">
        <f t="shared" si="2"/>
        <v>0</v>
      </c>
      <c r="M21" s="117"/>
      <c r="N21" s="116">
        <v>2043</v>
      </c>
      <c r="O21" s="117"/>
      <c r="P21" s="111"/>
      <c r="Q21" s="164" t="s">
        <v>81</v>
      </c>
      <c r="R21" s="165"/>
    </row>
    <row r="22" spans="1:20" ht="18" customHeight="1">
      <c r="A22" s="155" t="str">
        <f t="shared" si="6"/>
        <v/>
      </c>
      <c r="B22" s="156" t="str">
        <f t="shared" si="7"/>
        <v/>
      </c>
      <c r="C22" s="156" t="str">
        <f t="shared" si="9"/>
        <v/>
      </c>
      <c r="D22" s="153"/>
      <c r="E22" s="157" t="str">
        <f t="shared" si="10"/>
        <v/>
      </c>
      <c r="F22" s="158" t="str">
        <f t="shared" si="3"/>
        <v/>
      </c>
      <c r="G22" s="158" t="str">
        <f t="shared" si="8"/>
        <v/>
      </c>
      <c r="H22" s="131" t="str">
        <f>IF(E22="","",IF(AND(C16&gt;=4,ISERROR(INDEX(E16:E29,MATCH($M$7,A16:A29,0)))),CONCATENATE(SUM(B16,1),"/3/31"),IF(AND(C16&lt;=3,ISERROR(INDEX(E16:E29,MATCH($M$7,A16:A29,0)))),CONCATENATE(B16,"/3/31"),INDEX(E16:E29,MATCH($M$7,A16:A29,0)))))</f>
        <v/>
      </c>
      <c r="I22" s="132" t="str">
        <f t="shared" si="1"/>
        <v/>
      </c>
      <c r="J22" s="133" t="str">
        <f t="shared" si="4"/>
        <v/>
      </c>
      <c r="K22" s="134">
        <f t="shared" si="5"/>
        <v>0</v>
      </c>
      <c r="L22" s="135">
        <f t="shared" si="2"/>
        <v>0</v>
      </c>
      <c r="M22" s="117"/>
      <c r="N22" s="116">
        <v>2044</v>
      </c>
      <c r="O22" s="117"/>
      <c r="P22" s="111"/>
      <c r="Q22" s="166" t="s">
        <v>11</v>
      </c>
      <c r="R22" s="167">
        <f>ROUNDDOWN(L30*R14,0)</f>
        <v>0</v>
      </c>
    </row>
    <row r="23" spans="1:20" ht="18" customHeight="1">
      <c r="A23" s="155" t="str">
        <f t="shared" si="6"/>
        <v/>
      </c>
      <c r="B23" s="156" t="str">
        <f t="shared" si="7"/>
        <v/>
      </c>
      <c r="C23" s="156" t="str">
        <f t="shared" si="9"/>
        <v/>
      </c>
      <c r="D23" s="153"/>
      <c r="E23" s="157" t="str">
        <f t="shared" si="10"/>
        <v/>
      </c>
      <c r="F23" s="158" t="str">
        <f t="shared" si="3"/>
        <v/>
      </c>
      <c r="G23" s="158" t="str">
        <f t="shared" si="8"/>
        <v/>
      </c>
      <c r="H23" s="131" t="str">
        <f>IF(E23="","",IF(AND(C16&gt;=4,ISERROR(INDEX(E16:E29,MATCH($M$7,A16:A29,0)))),CONCATENATE(SUM(B16,1),"/3/31"),IF(AND(C16&lt;=3,ISERROR(INDEX(E16:E29,MATCH($M$7,A16:A29,0)))),CONCATENATE(B16,"/3/31"),INDEX(E16:E29,MATCH($M$7,A16:A29,0)))))</f>
        <v/>
      </c>
      <c r="I23" s="132" t="str">
        <f t="shared" si="1"/>
        <v/>
      </c>
      <c r="J23" s="133" t="str">
        <f t="shared" si="4"/>
        <v/>
      </c>
      <c r="K23" s="134">
        <f t="shared" si="5"/>
        <v>0</v>
      </c>
      <c r="L23" s="135">
        <f t="shared" si="2"/>
        <v>0</v>
      </c>
      <c r="M23" s="117"/>
      <c r="N23" s="116">
        <v>2045</v>
      </c>
      <c r="O23" s="117"/>
      <c r="P23" s="111"/>
      <c r="Q23" s="166" t="s">
        <v>12</v>
      </c>
      <c r="R23" s="168">
        <f>ROUNDDOWN(R22*Q17,0)</f>
        <v>0</v>
      </c>
    </row>
    <row r="24" spans="1:20" ht="18" customHeight="1">
      <c r="A24" s="155" t="str">
        <f t="shared" si="6"/>
        <v/>
      </c>
      <c r="B24" s="156" t="str">
        <f t="shared" si="7"/>
        <v/>
      </c>
      <c r="C24" s="156" t="str">
        <f t="shared" si="9"/>
        <v/>
      </c>
      <c r="D24" s="153"/>
      <c r="E24" s="157" t="str">
        <f t="shared" si="10"/>
        <v/>
      </c>
      <c r="F24" s="158" t="str">
        <f t="shared" si="3"/>
        <v/>
      </c>
      <c r="G24" s="158" t="str">
        <f t="shared" si="8"/>
        <v/>
      </c>
      <c r="H24" s="131" t="str">
        <f>IF(E24="","",IF(AND(C16&gt;=4,ISERROR(INDEX(E16:E29,MATCH($M$7,A16:A29,0)))),CONCATENATE(SUM(B16,1),"/3/31"),IF(AND(C16&lt;=3,ISERROR(INDEX(E16:E29,MATCH($M$7,A16:A29,0)))),CONCATENATE(B16,"/3/31"),INDEX(E16:E29,MATCH($M$7,A16:A29,0)))))</f>
        <v/>
      </c>
      <c r="I24" s="132" t="str">
        <f t="shared" si="1"/>
        <v/>
      </c>
      <c r="J24" s="133" t="str">
        <f t="shared" si="4"/>
        <v/>
      </c>
      <c r="K24" s="134">
        <f t="shared" si="5"/>
        <v>0</v>
      </c>
      <c r="L24" s="135">
        <f t="shared" si="2"/>
        <v>0</v>
      </c>
      <c r="M24" s="117"/>
      <c r="N24" s="116">
        <v>2046</v>
      </c>
      <c r="O24" s="117"/>
      <c r="P24" s="111"/>
      <c r="Q24" s="169" t="s">
        <v>13</v>
      </c>
      <c r="R24" s="167">
        <f>ROUNDDOWN(R22*R19,0)</f>
        <v>0</v>
      </c>
    </row>
    <row r="25" spans="1:20" ht="18" customHeight="1">
      <c r="A25" s="155" t="str">
        <f t="shared" si="6"/>
        <v/>
      </c>
      <c r="B25" s="156" t="str">
        <f t="shared" si="7"/>
        <v/>
      </c>
      <c r="C25" s="156" t="str">
        <f t="shared" si="9"/>
        <v/>
      </c>
      <c r="D25" s="153"/>
      <c r="E25" s="157" t="str">
        <f t="shared" si="10"/>
        <v/>
      </c>
      <c r="F25" s="158" t="str">
        <f t="shared" si="3"/>
        <v/>
      </c>
      <c r="G25" s="158" t="str">
        <f t="shared" si="8"/>
        <v/>
      </c>
      <c r="H25" s="131" t="str">
        <f>IF(E25="","",IF(AND(C16&gt;=4,ISERROR(INDEX(E16:E29,MATCH($M$7,A16:A29,0)))),CONCATENATE(SUM(B16,1),"/3/31"),IF(AND(C16&lt;=3,ISERROR(INDEX(E16:E29,MATCH($M$7,A16:A29,0)))),CONCATENATE(B16,"/3/31"),INDEX(E16:E29,MATCH($M$7,A16:A29,0)))))</f>
        <v/>
      </c>
      <c r="I25" s="132" t="str">
        <f t="shared" si="1"/>
        <v/>
      </c>
      <c r="J25" s="133" t="str">
        <f t="shared" si="4"/>
        <v/>
      </c>
      <c r="K25" s="134">
        <f t="shared" si="5"/>
        <v>0</v>
      </c>
      <c r="L25" s="135">
        <f t="shared" si="2"/>
        <v>0</v>
      </c>
      <c r="M25" s="117"/>
      <c r="N25" s="116">
        <v>2047</v>
      </c>
      <c r="P25" s="111"/>
      <c r="Q25" s="170" t="s">
        <v>82</v>
      </c>
      <c r="R25" s="171">
        <f>SUM(R23:R24)</f>
        <v>0</v>
      </c>
    </row>
    <row r="26" spans="1:20" ht="18" customHeight="1">
      <c r="A26" s="155" t="str">
        <f t="shared" si="6"/>
        <v/>
      </c>
      <c r="B26" s="156" t="str">
        <f t="shared" si="7"/>
        <v/>
      </c>
      <c r="C26" s="156" t="str">
        <f t="shared" si="9"/>
        <v/>
      </c>
      <c r="D26" s="153"/>
      <c r="E26" s="157" t="str">
        <f t="shared" si="10"/>
        <v/>
      </c>
      <c r="F26" s="158" t="str">
        <f t="shared" si="3"/>
        <v/>
      </c>
      <c r="G26" s="158" t="str">
        <f t="shared" si="8"/>
        <v/>
      </c>
      <c r="H26" s="131" t="str">
        <f>IF(E26="","",IF(AND(C16&gt;=4,ISERROR(INDEX(E16:E29,MATCH($M$7,A16:A29,0)))),CONCATENATE(SUM(B16,1),"/3/31"),IF(AND(C16&lt;=3,ISERROR(INDEX(E16:E29,MATCH($M$7,A16:A29,0)))),CONCATENATE(B16,"/3/31"),INDEX(E16:E29,MATCH($M$7,A16:A29,0)))))</f>
        <v/>
      </c>
      <c r="I26" s="132" t="str">
        <f t="shared" si="1"/>
        <v/>
      </c>
      <c r="J26" s="133" t="str">
        <f t="shared" si="4"/>
        <v/>
      </c>
      <c r="K26" s="134">
        <f t="shared" si="5"/>
        <v>0</v>
      </c>
      <c r="L26" s="135">
        <f t="shared" si="2"/>
        <v>0</v>
      </c>
      <c r="M26" s="117"/>
      <c r="N26" s="116">
        <v>2048</v>
      </c>
      <c r="P26" s="111"/>
      <c r="Q26" s="172" t="s">
        <v>58</v>
      </c>
      <c r="R26" s="173">
        <f>R22-R25</f>
        <v>0</v>
      </c>
    </row>
    <row r="27" spans="1:20" ht="18" customHeight="1">
      <c r="A27" s="155" t="str">
        <f t="shared" si="6"/>
        <v/>
      </c>
      <c r="B27" s="156" t="str">
        <f t="shared" si="7"/>
        <v/>
      </c>
      <c r="C27" s="156" t="str">
        <f t="shared" si="9"/>
        <v/>
      </c>
      <c r="D27" s="153"/>
      <c r="E27" s="157" t="str">
        <f t="shared" si="10"/>
        <v/>
      </c>
      <c r="F27" s="158" t="str">
        <f t="shared" si="3"/>
        <v/>
      </c>
      <c r="G27" s="158" t="str">
        <f t="shared" si="8"/>
        <v/>
      </c>
      <c r="H27" s="131" t="str">
        <f>IF(E27="","",IF(AND(C16&gt;=4,ISERROR(INDEX(E16:E29,MATCH($M$7,A16:A29,0)))),CONCATENATE(SUM(B16,1),"/3/31"),IF(AND(C16&lt;=3,ISERROR(INDEX(E16:E29,MATCH($M$7,A16:A29,0)))),CONCATENATE(B16,"/3/31"),INDEX(E16:E29,MATCH($M$7,A16:A29,0)))))</f>
        <v/>
      </c>
      <c r="I27" s="132" t="str">
        <f t="shared" si="1"/>
        <v/>
      </c>
      <c r="J27" s="133" t="str">
        <f t="shared" si="4"/>
        <v/>
      </c>
      <c r="K27" s="134">
        <f t="shared" si="5"/>
        <v>0</v>
      </c>
      <c r="L27" s="135">
        <f t="shared" si="2"/>
        <v>0</v>
      </c>
      <c r="M27" s="117"/>
      <c r="N27" s="116">
        <v>2049</v>
      </c>
      <c r="P27" s="111"/>
    </row>
    <row r="28" spans="1:20" ht="18" customHeight="1" thickBot="1">
      <c r="A28" s="155" t="str">
        <f t="shared" si="6"/>
        <v/>
      </c>
      <c r="B28" s="156" t="str">
        <f t="shared" si="7"/>
        <v/>
      </c>
      <c r="C28" s="156" t="str">
        <f t="shared" si="9"/>
        <v/>
      </c>
      <c r="D28" s="153"/>
      <c r="E28" s="157" t="str">
        <f t="shared" si="10"/>
        <v/>
      </c>
      <c r="F28" s="158" t="str">
        <f t="shared" si="3"/>
        <v/>
      </c>
      <c r="G28" s="158" t="str">
        <f t="shared" si="8"/>
        <v/>
      </c>
      <c r="H28" s="131" t="str">
        <f>IF(E28="","",IF(AND(C16&gt;=4,ISERROR(INDEX(E16:E29,MATCH($M$7,A16:A29,0)))),CONCATENATE(SUM(B16,1),"/3/31"),IF(AND(C16&lt;=3,ISERROR(INDEX(E16:E29,MATCH($M$7,A16:A29,0)))),CONCATENATE(B16,"/3/31"),INDEX(E16:E29,MATCH($M$7,A16:A29,0)))))</f>
        <v/>
      </c>
      <c r="I28" s="132" t="str">
        <f t="shared" si="1"/>
        <v/>
      </c>
      <c r="J28" s="133" t="str">
        <f t="shared" si="4"/>
        <v/>
      </c>
      <c r="K28" s="134">
        <f t="shared" si="5"/>
        <v>0</v>
      </c>
      <c r="L28" s="135">
        <f t="shared" si="2"/>
        <v>0</v>
      </c>
      <c r="M28" s="117"/>
      <c r="N28" s="116">
        <v>2050</v>
      </c>
      <c r="P28" s="111"/>
    </row>
    <row r="29" spans="1:20" ht="18" customHeight="1" thickTop="1">
      <c r="A29" s="155" t="str">
        <f>IF(B29="","",IF(AND(C28=6,C29=6),"手当積立",IF(C29=12,"手当積立","定例積立")))</f>
        <v/>
      </c>
      <c r="B29" s="156" t="str">
        <f t="shared" si="7"/>
        <v/>
      </c>
      <c r="C29" s="156" t="str">
        <f t="shared" si="9"/>
        <v/>
      </c>
      <c r="D29" s="153"/>
      <c r="E29" s="157" t="str">
        <f t="shared" si="10"/>
        <v/>
      </c>
      <c r="F29" s="158" t="str">
        <f t="shared" si="3"/>
        <v/>
      </c>
      <c r="G29" s="158" t="str">
        <f t="shared" si="8"/>
        <v/>
      </c>
      <c r="H29" s="131" t="str">
        <f>IF(E29="","",IF(AND(C16&gt;=4,ISERROR(INDEX(E16:E29,MATCH($M$7,A16:A29,0)))),CONCATENATE(SUM(B16,1),"/3/31"),IF(AND(C16&lt;=3,ISERROR(INDEX(E16:E29,MATCH($M$7,A16:A29,0)))),CONCATENATE(B16,"/3/31"),INDEX(E16:E29,MATCH($M$7,A16:A29,0)))))</f>
        <v/>
      </c>
      <c r="I29" s="132" t="str">
        <f t="shared" si="1"/>
        <v/>
      </c>
      <c r="J29" s="133" t="str">
        <f t="shared" si="4"/>
        <v/>
      </c>
      <c r="K29" s="134">
        <f t="shared" si="5"/>
        <v>0</v>
      </c>
      <c r="L29" s="135">
        <f t="shared" si="2"/>
        <v>0</v>
      </c>
      <c r="M29" s="117"/>
      <c r="N29" s="116">
        <v>2051</v>
      </c>
      <c r="P29" s="111"/>
      <c r="Q29" s="174" t="s">
        <v>80</v>
      </c>
      <c r="R29" s="175"/>
    </row>
    <row r="30" spans="1:20" ht="18" customHeight="1" thickBot="1">
      <c r="E30" s="138"/>
      <c r="F30" s="159" t="s">
        <v>79</v>
      </c>
      <c r="G30" s="160">
        <f>SUM(G16:G29)</f>
        <v>0</v>
      </c>
      <c r="H30" s="138"/>
      <c r="I30" s="141"/>
      <c r="J30" s="141"/>
      <c r="K30" s="142"/>
      <c r="L30" s="135">
        <f>SUM(L16:L29)</f>
        <v>0</v>
      </c>
      <c r="M30" s="117"/>
      <c r="N30" s="116">
        <v>2052</v>
      </c>
      <c r="P30" s="111"/>
      <c r="Q30" s="176" t="str">
        <f>IF(F16="","",SUM(G30,R26))</f>
        <v/>
      </c>
      <c r="R30" s="177"/>
    </row>
    <row r="31" spans="1:20" ht="18" customHeight="1" thickTop="1">
      <c r="A31" s="111" t="s">
        <v>68</v>
      </c>
      <c r="N31" s="116"/>
      <c r="O31" s="117"/>
    </row>
    <row r="32" spans="1:20" ht="18" customHeight="1">
      <c r="A32" s="118" t="s">
        <v>66</v>
      </c>
      <c r="B32" s="118" t="s">
        <v>56</v>
      </c>
      <c r="C32" s="118"/>
      <c r="D32" s="118"/>
      <c r="E32" s="118" t="s">
        <v>65</v>
      </c>
      <c r="F32" s="121" t="s">
        <v>77</v>
      </c>
      <c r="G32" s="122" t="s">
        <v>78</v>
      </c>
      <c r="H32" s="118" t="s">
        <v>7</v>
      </c>
      <c r="I32" s="118" t="s">
        <v>8</v>
      </c>
      <c r="J32" s="118" t="s">
        <v>9</v>
      </c>
      <c r="K32" s="123" t="s">
        <v>10</v>
      </c>
      <c r="L32" s="124" t="s">
        <v>55</v>
      </c>
      <c r="M32" s="119"/>
      <c r="N32" s="116"/>
      <c r="O32" s="117"/>
      <c r="Q32" s="153" t="s">
        <v>50</v>
      </c>
      <c r="R32" s="179">
        <v>1.4999999999999999E-2</v>
      </c>
    </row>
    <row r="33" spans="1:18" ht="18" customHeight="1">
      <c r="A33" s="118"/>
      <c r="B33" s="125" t="s">
        <v>52</v>
      </c>
      <c r="C33" s="125" t="s">
        <v>53</v>
      </c>
      <c r="D33" s="125" t="s">
        <v>54</v>
      </c>
      <c r="E33" s="118"/>
      <c r="F33" s="126"/>
      <c r="G33" s="122"/>
      <c r="H33" s="118"/>
      <c r="I33" s="118"/>
      <c r="J33" s="118"/>
      <c r="K33" s="123"/>
      <c r="L33" s="124"/>
      <c r="M33" s="115"/>
      <c r="N33" s="116"/>
      <c r="O33" s="117"/>
      <c r="P33" s="111"/>
    </row>
    <row r="34" spans="1:18" ht="18" customHeight="1">
      <c r="A34" s="128" t="str">
        <f>IF(B34="","",$M$2)</f>
        <v/>
      </c>
      <c r="B34" s="128" t="str">
        <f>IF(B16="","",YEAR(LOOKUP(2,1/(H16:H29&lt;&gt;""),H16:H29)))</f>
        <v/>
      </c>
      <c r="C34" s="128" t="str">
        <f>IF(B34="","",$O$2)</f>
        <v/>
      </c>
      <c r="D34" s="128" t="str">
        <f>IF(C34="","",1)</f>
        <v/>
      </c>
      <c r="E34" s="129" t="str">
        <f t="shared" ref="E34:E37" si="11">IF(OR(A34="",B34="",C34=""),"",IF(A34="定例積立",CONCATENATE(B34,"/",C34,"/","25"),IF(AND(A34="手当積立",C34=6),CONCATENATE(B34,"/",SUM(C34,1),"/","5"),IF(AND(A34="手当積立",C34=12),CONCATENATE(B34,"/",C34,"/","15"),CONCATENATE(B34,"/",C34,"/",D34)))))</f>
        <v/>
      </c>
      <c r="F34" s="130" t="str">
        <f>IF(Q30=0,"",Q30)</f>
        <v/>
      </c>
      <c r="G34" s="130" t="str">
        <f>IF(A34="","",F34)</f>
        <v/>
      </c>
      <c r="H34" s="131" t="str">
        <f>IF(B34="","",EOMONTH(LOOKUP(2,1/(H16:H29&lt;&gt;""),H16:H29),12))</f>
        <v/>
      </c>
      <c r="I34" s="132" t="str">
        <f>IF(E34="","",SUM((H34-E34),1))</f>
        <v/>
      </c>
      <c r="J34" s="133" t="str">
        <f t="shared" ref="J34:J48" si="12">IF(A34="","",H34-DATEVALUE(CONCATENATE(SUM(YEAR(H34),-1),"/3/31")))</f>
        <v/>
      </c>
      <c r="K34" s="134">
        <f>IF(ISERROR(ROUNDDOWN(G34/100,0)*100),0,ROUNDDOWN(G34/100,0)*100)</f>
        <v>0</v>
      </c>
      <c r="L34" s="135">
        <f t="shared" ref="L34:L48" si="13">IFERROR(ROUNDDOWN(K34*I34/J34,0),0)</f>
        <v>0</v>
      </c>
      <c r="M34" s="117"/>
      <c r="N34" s="116"/>
      <c r="O34" s="117"/>
      <c r="P34" s="111"/>
      <c r="Q34" s="161" t="s">
        <v>57</v>
      </c>
      <c r="R34" s="162"/>
    </row>
    <row r="35" spans="1:18" ht="18" customHeight="1">
      <c r="A35" s="128" t="str">
        <f>IF(B35="","",$M$3)</f>
        <v/>
      </c>
      <c r="B35" s="128" t="str">
        <f>B34</f>
        <v/>
      </c>
      <c r="C35" s="128" t="str">
        <f>IF(C34="","",$O$2)</f>
        <v/>
      </c>
      <c r="D35" s="125"/>
      <c r="E35" s="129" t="str">
        <f t="shared" si="11"/>
        <v/>
      </c>
      <c r="F35" s="130" t="str">
        <f>IF(ISERROR(VLOOKUP(A35,$B$10:$E$11,4,FALSE)),"",VLOOKUP(A35,$B$10:$E$11,4,FALSE))</f>
        <v/>
      </c>
      <c r="G35" s="130" t="str">
        <f t="shared" ref="G35:G48" si="14">IF(A35="","",F35)</f>
        <v/>
      </c>
      <c r="H35" s="131" t="str">
        <f>IF(B34="","",EOMONTH(LOOKUP(2,1/(H16:H29&lt;&gt;""),H16:H29),12))</f>
        <v/>
      </c>
      <c r="I35" s="132" t="str">
        <f t="shared" ref="I35:I48" si="15">IF(E35="","",SUM((H35-E35),1))</f>
        <v/>
      </c>
      <c r="J35" s="133" t="str">
        <f t="shared" si="12"/>
        <v/>
      </c>
      <c r="K35" s="134">
        <f t="shared" ref="K35:K48" si="16">IF(ISERROR(ROUNDDOWN(G35/100,0)*100),0,ROUNDDOWN(G35/100,0)*100)</f>
        <v>0</v>
      </c>
      <c r="L35" s="135">
        <f t="shared" si="13"/>
        <v>0</v>
      </c>
      <c r="M35" s="117"/>
      <c r="N35" s="116"/>
      <c r="O35" s="117"/>
      <c r="P35" s="111"/>
      <c r="Q35" s="180">
        <v>0.15315000000000001</v>
      </c>
      <c r="R35" s="181"/>
    </row>
    <row r="36" spans="1:18" ht="18" customHeight="1">
      <c r="A36" s="128" t="str">
        <f t="shared" ref="A36:A37" si="17">IF(B36="","",$M$3)</f>
        <v/>
      </c>
      <c r="B36" s="128" t="str">
        <f>B34</f>
        <v/>
      </c>
      <c r="C36" s="128" t="str">
        <f>IF(C34="","",$O$3)</f>
        <v/>
      </c>
      <c r="D36" s="125"/>
      <c r="E36" s="129" t="str">
        <f t="shared" si="11"/>
        <v/>
      </c>
      <c r="F36" s="130" t="str">
        <f t="shared" ref="F36:F48" si="18">IF(ISERROR(VLOOKUP(A36,$B$10:$E$11,4,FALSE)),"",VLOOKUP(A36,$B$10:$E$11,4,FALSE))</f>
        <v/>
      </c>
      <c r="G36" s="130" t="str">
        <f t="shared" si="14"/>
        <v/>
      </c>
      <c r="H36" s="131" t="str">
        <f>IF(B34="","",EOMONTH(LOOKUP(2,1/(H16:H29&lt;&gt;""),H16:H29),12))</f>
        <v/>
      </c>
      <c r="I36" s="132" t="str">
        <f t="shared" si="15"/>
        <v/>
      </c>
      <c r="J36" s="133" t="str">
        <f t="shared" si="12"/>
        <v/>
      </c>
      <c r="K36" s="134">
        <f t="shared" si="16"/>
        <v>0</v>
      </c>
      <c r="L36" s="135">
        <f t="shared" si="13"/>
        <v>0</v>
      </c>
      <c r="M36" s="117"/>
      <c r="N36" s="116"/>
      <c r="O36" s="117"/>
      <c r="P36" s="111"/>
    </row>
    <row r="37" spans="1:18" ht="18" customHeight="1">
      <c r="A37" s="128" t="str">
        <f t="shared" si="17"/>
        <v/>
      </c>
      <c r="B37" s="128" t="str">
        <f>B34</f>
        <v/>
      </c>
      <c r="C37" s="128" t="str">
        <f>IF(C34="","",$O$4)</f>
        <v/>
      </c>
      <c r="D37" s="125"/>
      <c r="E37" s="129" t="str">
        <f t="shared" si="11"/>
        <v/>
      </c>
      <c r="F37" s="130" t="str">
        <f t="shared" si="18"/>
        <v/>
      </c>
      <c r="G37" s="130" t="str">
        <f t="shared" si="14"/>
        <v/>
      </c>
      <c r="H37" s="131" t="str">
        <f>IF(B34="","",EOMONTH(LOOKUP(2,1/(H16:H29&lt;&gt;""),H16:H29),12))</f>
        <v/>
      </c>
      <c r="I37" s="132" t="str">
        <f t="shared" si="15"/>
        <v/>
      </c>
      <c r="J37" s="133" t="str">
        <f t="shared" si="12"/>
        <v/>
      </c>
      <c r="K37" s="134">
        <f t="shared" si="16"/>
        <v>0</v>
      </c>
      <c r="L37" s="135">
        <f t="shared" si="13"/>
        <v>0</v>
      </c>
      <c r="M37" s="117"/>
      <c r="N37" s="116"/>
      <c r="O37" s="117"/>
      <c r="P37" s="111"/>
      <c r="Q37" s="163" t="s">
        <v>13</v>
      </c>
      <c r="R37" s="182">
        <v>0.05</v>
      </c>
    </row>
    <row r="38" spans="1:18" ht="18" customHeight="1">
      <c r="A38" s="128" t="str">
        <f>IF(B38="","",$M$4)</f>
        <v/>
      </c>
      <c r="B38" s="128" t="str">
        <f>B34</f>
        <v/>
      </c>
      <c r="C38" s="128" t="str">
        <f>IF(C34="","",$O$4)</f>
        <v/>
      </c>
      <c r="D38" s="125"/>
      <c r="E38" s="129" t="str">
        <f>IF(OR(A38="",B38="",C38=""),"",IF(A38="定例積立",CONCATENATE(B38,"/",C38,"/","25"),IF(AND(A38="手当積立",C38=6),CONCATENATE(B38,"/",SUM(C38,1),"/","5"),IF(AND(A38="手当積立",C38=12),CONCATENATE(B38,"/",C38,"/","15"),CONCATENATE(B38,"/",C38,"/",D38)))))</f>
        <v/>
      </c>
      <c r="F38" s="130" t="str">
        <f t="shared" si="18"/>
        <v/>
      </c>
      <c r="G38" s="130" t="str">
        <f t="shared" si="14"/>
        <v/>
      </c>
      <c r="H38" s="131" t="str">
        <f>IF(B34="","",EOMONTH(LOOKUP(2,1/(H16:H29&lt;&gt;""),H16:H29),12))</f>
        <v/>
      </c>
      <c r="I38" s="132" t="str">
        <f t="shared" si="15"/>
        <v/>
      </c>
      <c r="J38" s="133" t="str">
        <f t="shared" si="12"/>
        <v/>
      </c>
      <c r="K38" s="134">
        <f t="shared" si="16"/>
        <v>0</v>
      </c>
      <c r="L38" s="135">
        <f t="shared" si="13"/>
        <v>0</v>
      </c>
      <c r="M38" s="117"/>
      <c r="N38" s="116"/>
      <c r="O38" s="117"/>
      <c r="P38" s="111"/>
    </row>
    <row r="39" spans="1:18" ht="18" customHeight="1">
      <c r="A39" s="128" t="str">
        <f t="shared" ref="A39:A43" si="19">IF(B39="","",$M$3)</f>
        <v/>
      </c>
      <c r="B39" s="128" t="str">
        <f>B34</f>
        <v/>
      </c>
      <c r="C39" s="128" t="str">
        <f>IF(C34="","",$O$5)</f>
        <v/>
      </c>
      <c r="D39" s="125"/>
      <c r="E39" s="129" t="str">
        <f t="shared" ref="E39:E48" si="20">IF(OR(A39="",B39="",C39=""),"",IF(A39="定例積立",CONCATENATE(B39,"/",C39,"/","25"),IF(AND(A39="手当積立",C39=6),CONCATENATE(B39,"/",SUM(C39,1),"/","5"),IF(AND(A39="手当積立",C39=12),CONCATENATE(B39,"/",C39,"/","15"),CONCATENATE(B39,"/",C39,"/",D39)))))</f>
        <v/>
      </c>
      <c r="F39" s="130" t="str">
        <f t="shared" si="18"/>
        <v/>
      </c>
      <c r="G39" s="130" t="str">
        <f t="shared" si="14"/>
        <v/>
      </c>
      <c r="H39" s="131" t="str">
        <f>IF(B34="","",EOMONTH(LOOKUP(2,1/(H16:H29&lt;&gt;""),H16:H29),12))</f>
        <v/>
      </c>
      <c r="I39" s="132" t="str">
        <f t="shared" si="15"/>
        <v/>
      </c>
      <c r="J39" s="133" t="str">
        <f t="shared" si="12"/>
        <v/>
      </c>
      <c r="K39" s="134">
        <f t="shared" si="16"/>
        <v>0</v>
      </c>
      <c r="L39" s="135">
        <f t="shared" si="13"/>
        <v>0</v>
      </c>
      <c r="M39" s="117"/>
      <c r="N39" s="116"/>
      <c r="O39" s="117"/>
      <c r="P39" s="111"/>
      <c r="Q39" s="164" t="s">
        <v>81</v>
      </c>
      <c r="R39" s="165"/>
    </row>
    <row r="40" spans="1:18" ht="18" customHeight="1">
      <c r="A40" s="128" t="str">
        <f t="shared" si="19"/>
        <v/>
      </c>
      <c r="B40" s="128" t="str">
        <f>B34</f>
        <v/>
      </c>
      <c r="C40" s="128" t="str">
        <f>IF(C34="","",$O$6)</f>
        <v/>
      </c>
      <c r="D40" s="125"/>
      <c r="E40" s="129" t="str">
        <f t="shared" si="20"/>
        <v/>
      </c>
      <c r="F40" s="130" t="str">
        <f t="shared" si="18"/>
        <v/>
      </c>
      <c r="G40" s="130" t="str">
        <f t="shared" si="14"/>
        <v/>
      </c>
      <c r="H40" s="131" t="str">
        <f>IF(B34="","",EOMONTH(LOOKUP(2,1/(H16:H29&lt;&gt;""),H16:H29),12))</f>
        <v/>
      </c>
      <c r="I40" s="132" t="str">
        <f t="shared" si="15"/>
        <v/>
      </c>
      <c r="J40" s="133" t="str">
        <f t="shared" si="12"/>
        <v/>
      </c>
      <c r="K40" s="134">
        <f t="shared" si="16"/>
        <v>0</v>
      </c>
      <c r="L40" s="135">
        <f t="shared" si="13"/>
        <v>0</v>
      </c>
      <c r="M40" s="117"/>
      <c r="N40" s="116"/>
      <c r="O40" s="117"/>
      <c r="P40" s="111"/>
      <c r="Q40" s="166" t="s">
        <v>11</v>
      </c>
      <c r="R40" s="167">
        <f>ROUNDDOWN(L49*R32,0)</f>
        <v>0</v>
      </c>
    </row>
    <row r="41" spans="1:18" ht="18" customHeight="1">
      <c r="A41" s="128" t="str">
        <f t="shared" si="19"/>
        <v/>
      </c>
      <c r="B41" s="128" t="str">
        <f>B34</f>
        <v/>
      </c>
      <c r="C41" s="128" t="str">
        <f>IF(C34="","",$O$7)</f>
        <v/>
      </c>
      <c r="D41" s="125"/>
      <c r="E41" s="129" t="str">
        <f t="shared" si="20"/>
        <v/>
      </c>
      <c r="F41" s="130" t="str">
        <f t="shared" si="18"/>
        <v/>
      </c>
      <c r="G41" s="130" t="str">
        <f t="shared" si="14"/>
        <v/>
      </c>
      <c r="H41" s="131" t="str">
        <f>IF(B34="","",EOMONTH(LOOKUP(2,1/(H16:H29&lt;&gt;""),H16:H29),12))</f>
        <v/>
      </c>
      <c r="I41" s="132" t="str">
        <f t="shared" si="15"/>
        <v/>
      </c>
      <c r="J41" s="133" t="str">
        <f t="shared" si="12"/>
        <v/>
      </c>
      <c r="K41" s="134">
        <f t="shared" si="16"/>
        <v>0</v>
      </c>
      <c r="L41" s="135">
        <f t="shared" si="13"/>
        <v>0</v>
      </c>
      <c r="M41" s="117"/>
      <c r="N41" s="116"/>
      <c r="O41" s="117"/>
      <c r="P41" s="111"/>
      <c r="Q41" s="166" t="s">
        <v>12</v>
      </c>
      <c r="R41" s="168">
        <f>ROUNDDOWN(R40*Q35,0)</f>
        <v>0</v>
      </c>
    </row>
    <row r="42" spans="1:18" ht="18" customHeight="1">
      <c r="A42" s="128" t="str">
        <f t="shared" si="19"/>
        <v/>
      </c>
      <c r="B42" s="128" t="str">
        <f>B34</f>
        <v/>
      </c>
      <c r="C42" s="128" t="str">
        <f>IF(C34="","",$O$8)</f>
        <v/>
      </c>
      <c r="D42" s="125"/>
      <c r="E42" s="129" t="str">
        <f t="shared" si="20"/>
        <v/>
      </c>
      <c r="F42" s="130" t="str">
        <f t="shared" si="18"/>
        <v/>
      </c>
      <c r="G42" s="130" t="str">
        <f t="shared" si="14"/>
        <v/>
      </c>
      <c r="H42" s="131" t="str">
        <f>IF(B34="","",EOMONTH(LOOKUP(2,1/(H16:H29&lt;&gt;""),H16:H29),12))</f>
        <v/>
      </c>
      <c r="I42" s="132" t="str">
        <f t="shared" si="15"/>
        <v/>
      </c>
      <c r="J42" s="133" t="str">
        <f t="shared" si="12"/>
        <v/>
      </c>
      <c r="K42" s="134">
        <f t="shared" si="16"/>
        <v>0</v>
      </c>
      <c r="L42" s="135">
        <f t="shared" si="13"/>
        <v>0</v>
      </c>
      <c r="M42" s="117"/>
      <c r="N42" s="116"/>
      <c r="O42" s="117"/>
      <c r="P42" s="111"/>
      <c r="Q42" s="169" t="s">
        <v>13</v>
      </c>
      <c r="R42" s="167">
        <f>ROUNDDOWN(R40*R37,0)</f>
        <v>0</v>
      </c>
    </row>
    <row r="43" spans="1:18" ht="18" customHeight="1">
      <c r="A43" s="128" t="str">
        <f t="shared" si="19"/>
        <v/>
      </c>
      <c r="B43" s="128" t="str">
        <f>B34</f>
        <v/>
      </c>
      <c r="C43" s="128" t="str">
        <f>IF(C34="","",$O$9)</f>
        <v/>
      </c>
      <c r="D43" s="125"/>
      <c r="E43" s="129" t="str">
        <f t="shared" si="20"/>
        <v/>
      </c>
      <c r="F43" s="130" t="str">
        <f t="shared" si="18"/>
        <v/>
      </c>
      <c r="G43" s="130" t="str">
        <f t="shared" si="14"/>
        <v/>
      </c>
      <c r="H43" s="131" t="str">
        <f>IF(B34="","",EOMONTH(LOOKUP(2,1/(H16:H29&lt;&gt;""),H16:H29),12))</f>
        <v/>
      </c>
      <c r="I43" s="132" t="str">
        <f t="shared" si="15"/>
        <v/>
      </c>
      <c r="J43" s="133" t="str">
        <f t="shared" si="12"/>
        <v/>
      </c>
      <c r="K43" s="134">
        <f t="shared" si="16"/>
        <v>0</v>
      </c>
      <c r="L43" s="135">
        <f t="shared" si="13"/>
        <v>0</v>
      </c>
      <c r="M43" s="117"/>
      <c r="N43" s="116"/>
      <c r="O43" s="117"/>
      <c r="P43" s="111"/>
      <c r="Q43" s="170" t="s">
        <v>82</v>
      </c>
      <c r="R43" s="171">
        <f>SUM(R41:R42)</f>
        <v>0</v>
      </c>
    </row>
    <row r="44" spans="1:18" ht="18" customHeight="1">
      <c r="A44" s="128" t="str">
        <f>IF(B44="","",$M$4)</f>
        <v/>
      </c>
      <c r="B44" s="128" t="str">
        <f>B34</f>
        <v/>
      </c>
      <c r="C44" s="128" t="str">
        <f>IF(C34="","",$O$10)</f>
        <v/>
      </c>
      <c r="D44" s="125"/>
      <c r="E44" s="129" t="str">
        <f t="shared" si="20"/>
        <v/>
      </c>
      <c r="F44" s="130" t="str">
        <f t="shared" si="18"/>
        <v/>
      </c>
      <c r="G44" s="130" t="str">
        <f t="shared" si="14"/>
        <v/>
      </c>
      <c r="H44" s="131" t="str">
        <f>IF(B34="","",EOMONTH(LOOKUP(2,1/(H16:H29&lt;&gt;""),H16:H29),12))</f>
        <v/>
      </c>
      <c r="I44" s="132" t="str">
        <f t="shared" si="15"/>
        <v/>
      </c>
      <c r="J44" s="133" t="str">
        <f t="shared" si="12"/>
        <v/>
      </c>
      <c r="K44" s="134">
        <f t="shared" si="16"/>
        <v>0</v>
      </c>
      <c r="L44" s="135">
        <f t="shared" si="13"/>
        <v>0</v>
      </c>
      <c r="M44" s="117"/>
      <c r="N44" s="116"/>
      <c r="O44" s="117"/>
      <c r="P44" s="111"/>
      <c r="Q44" s="172" t="s">
        <v>58</v>
      </c>
      <c r="R44" s="173">
        <f>R40-R43</f>
        <v>0</v>
      </c>
    </row>
    <row r="45" spans="1:18" ht="18" customHeight="1">
      <c r="A45" s="128" t="str">
        <f t="shared" ref="A45:A48" si="21">IF(B45="","",$M$3)</f>
        <v/>
      </c>
      <c r="B45" s="128" t="str">
        <f>B34</f>
        <v/>
      </c>
      <c r="C45" s="128" t="str">
        <f>IF(C34="","",$O$10)</f>
        <v/>
      </c>
      <c r="D45" s="125"/>
      <c r="E45" s="129" t="str">
        <f t="shared" si="20"/>
        <v/>
      </c>
      <c r="F45" s="130" t="str">
        <f t="shared" si="18"/>
        <v/>
      </c>
      <c r="G45" s="130" t="str">
        <f t="shared" si="14"/>
        <v/>
      </c>
      <c r="H45" s="131" t="str">
        <f>IF(B34="","",EOMONTH(LOOKUP(2,1/(H16:H29&lt;&gt;""),H16:H29),12))</f>
        <v/>
      </c>
      <c r="I45" s="132" t="str">
        <f t="shared" si="15"/>
        <v/>
      </c>
      <c r="J45" s="133" t="str">
        <f t="shared" si="12"/>
        <v/>
      </c>
      <c r="K45" s="134">
        <f t="shared" si="16"/>
        <v>0</v>
      </c>
      <c r="L45" s="135">
        <f t="shared" si="13"/>
        <v>0</v>
      </c>
      <c r="M45" s="117"/>
      <c r="N45" s="116"/>
      <c r="O45" s="117"/>
      <c r="P45" s="111"/>
    </row>
    <row r="46" spans="1:18" ht="18" customHeight="1" thickBot="1">
      <c r="A46" s="128" t="str">
        <f t="shared" si="21"/>
        <v/>
      </c>
      <c r="B46" s="128" t="str">
        <f>IF(B34="","",SUM(B34,1))</f>
        <v/>
      </c>
      <c r="C46" s="128" t="str">
        <f>IF(C34="","",$O$11)</f>
        <v/>
      </c>
      <c r="D46" s="125"/>
      <c r="E46" s="129" t="str">
        <f t="shared" si="20"/>
        <v/>
      </c>
      <c r="F46" s="130" t="str">
        <f t="shared" si="18"/>
        <v/>
      </c>
      <c r="G46" s="130" t="str">
        <f t="shared" si="14"/>
        <v/>
      </c>
      <c r="H46" s="131" t="str">
        <f>IF(B34="","",EOMONTH(LOOKUP(2,1/(H16:H29&lt;&gt;""),H16:H29),12))</f>
        <v/>
      </c>
      <c r="I46" s="132" t="str">
        <f t="shared" si="15"/>
        <v/>
      </c>
      <c r="J46" s="133" t="str">
        <f t="shared" si="12"/>
        <v/>
      </c>
      <c r="K46" s="134">
        <f t="shared" si="16"/>
        <v>0</v>
      </c>
      <c r="L46" s="135">
        <f t="shared" si="13"/>
        <v>0</v>
      </c>
      <c r="M46" s="117"/>
      <c r="N46" s="116"/>
      <c r="O46" s="117"/>
      <c r="P46" s="111"/>
    </row>
    <row r="47" spans="1:18" ht="18" customHeight="1" thickTop="1">
      <c r="A47" s="128" t="str">
        <f t="shared" si="21"/>
        <v/>
      </c>
      <c r="B47" s="128" t="str">
        <f>IF(B34="","",B46)</f>
        <v/>
      </c>
      <c r="C47" s="128" t="str">
        <f>IF(C34="","",$O$12)</f>
        <v/>
      </c>
      <c r="D47" s="125"/>
      <c r="E47" s="129" t="str">
        <f t="shared" si="20"/>
        <v/>
      </c>
      <c r="F47" s="130" t="str">
        <f t="shared" si="18"/>
        <v/>
      </c>
      <c r="G47" s="130" t="str">
        <f t="shared" si="14"/>
        <v/>
      </c>
      <c r="H47" s="131" t="str">
        <f>IF(B34="","",EOMONTH(LOOKUP(2,1/(H16:H29&lt;&gt;""),H16:H29),12))</f>
        <v/>
      </c>
      <c r="I47" s="132" t="str">
        <f t="shared" si="15"/>
        <v/>
      </c>
      <c r="J47" s="133" t="str">
        <f t="shared" si="12"/>
        <v/>
      </c>
      <c r="K47" s="134">
        <f t="shared" si="16"/>
        <v>0</v>
      </c>
      <c r="L47" s="135">
        <f t="shared" si="13"/>
        <v>0</v>
      </c>
      <c r="M47" s="117"/>
      <c r="N47" s="116"/>
      <c r="O47" s="117"/>
      <c r="P47" s="111"/>
      <c r="Q47" s="174" t="s">
        <v>80</v>
      </c>
      <c r="R47" s="175"/>
    </row>
    <row r="48" spans="1:18" ht="18" customHeight="1" thickBot="1">
      <c r="A48" s="128" t="str">
        <f t="shared" si="21"/>
        <v/>
      </c>
      <c r="B48" s="128" t="str">
        <f>IF(B34="","",B46)</f>
        <v/>
      </c>
      <c r="C48" s="128" t="str">
        <f>IF(C34="","",$O$13)</f>
        <v/>
      </c>
      <c r="D48" s="125"/>
      <c r="E48" s="129" t="str">
        <f t="shared" si="20"/>
        <v/>
      </c>
      <c r="F48" s="130" t="str">
        <f t="shared" si="18"/>
        <v/>
      </c>
      <c r="G48" s="130" t="str">
        <f t="shared" si="14"/>
        <v/>
      </c>
      <c r="H48" s="131" t="str">
        <f>IF(B34="","",EOMONTH(LOOKUP(2,1/(H16:H29&lt;&gt;""),H16:H29),12))</f>
        <v/>
      </c>
      <c r="I48" s="132" t="str">
        <f t="shared" si="15"/>
        <v/>
      </c>
      <c r="J48" s="133" t="str">
        <f t="shared" si="12"/>
        <v/>
      </c>
      <c r="K48" s="134">
        <f t="shared" si="16"/>
        <v>0</v>
      </c>
      <c r="L48" s="135">
        <f t="shared" si="13"/>
        <v>0</v>
      </c>
      <c r="M48" s="117"/>
      <c r="N48" s="116"/>
      <c r="O48" s="117"/>
      <c r="P48" s="111"/>
      <c r="Q48" s="176" t="str">
        <f>IF(F34="","",SUM(G49,R44))</f>
        <v/>
      </c>
      <c r="R48" s="177"/>
    </row>
    <row r="49" spans="1:18" ht="18" customHeight="1" thickTop="1">
      <c r="E49" s="138"/>
      <c r="F49" s="139" t="s">
        <v>79</v>
      </c>
      <c r="G49" s="140">
        <f>SUM(G34:G48)</f>
        <v>0</v>
      </c>
      <c r="H49" s="138"/>
      <c r="I49" s="141"/>
      <c r="J49" s="141"/>
      <c r="K49" s="142"/>
      <c r="L49" s="135">
        <f>SUM(L34:L48)</f>
        <v>0</v>
      </c>
      <c r="M49" s="117"/>
      <c r="N49" s="116"/>
      <c r="O49" s="117"/>
      <c r="P49" s="111"/>
    </row>
    <row r="50" spans="1:18" ht="18" customHeight="1">
      <c r="A50" s="111" t="s">
        <v>69</v>
      </c>
      <c r="M50" s="117"/>
      <c r="N50" s="116"/>
      <c r="O50" s="117"/>
    </row>
    <row r="51" spans="1:18" ht="18" customHeight="1">
      <c r="A51" s="150" t="s">
        <v>66</v>
      </c>
      <c r="B51" s="150" t="s">
        <v>56</v>
      </c>
      <c r="C51" s="150"/>
      <c r="D51" s="150"/>
      <c r="E51" s="150" t="s">
        <v>65</v>
      </c>
      <c r="F51" s="151" t="s">
        <v>77</v>
      </c>
      <c r="G51" s="152" t="s">
        <v>78</v>
      </c>
      <c r="H51" s="118" t="s">
        <v>7</v>
      </c>
      <c r="I51" s="118" t="s">
        <v>8</v>
      </c>
      <c r="J51" s="118" t="s">
        <v>9</v>
      </c>
      <c r="K51" s="123" t="s">
        <v>10</v>
      </c>
      <c r="L51" s="124" t="s">
        <v>55</v>
      </c>
      <c r="M51" s="119"/>
      <c r="N51" s="116"/>
      <c r="O51" s="117"/>
      <c r="Q51" s="153" t="s">
        <v>50</v>
      </c>
      <c r="R51" s="179">
        <v>1.4999999999999999E-2</v>
      </c>
    </row>
    <row r="52" spans="1:18" ht="18" customHeight="1">
      <c r="A52" s="150"/>
      <c r="B52" s="153" t="s">
        <v>52</v>
      </c>
      <c r="C52" s="153" t="s">
        <v>53</v>
      </c>
      <c r="D52" s="153" t="s">
        <v>54</v>
      </c>
      <c r="E52" s="150"/>
      <c r="F52" s="154"/>
      <c r="G52" s="152"/>
      <c r="H52" s="118"/>
      <c r="I52" s="118"/>
      <c r="J52" s="118"/>
      <c r="K52" s="123"/>
      <c r="L52" s="124"/>
      <c r="M52" s="115"/>
      <c r="N52" s="116"/>
      <c r="O52" s="117"/>
      <c r="P52" s="111"/>
    </row>
    <row r="53" spans="1:18" ht="18" customHeight="1">
      <c r="A53" s="155" t="str">
        <f>IF(B53="","",$M$2)</f>
        <v/>
      </c>
      <c r="B53" s="155" t="str">
        <f>IF(B34="","",YEAR(LOOKUP(2,1/(H34:H48&lt;&gt;""),H34:H48)))</f>
        <v/>
      </c>
      <c r="C53" s="155" t="str">
        <f>IF(B53="","",$O$2)</f>
        <v/>
      </c>
      <c r="D53" s="155" t="str">
        <f>IF(C53="","",1)</f>
        <v/>
      </c>
      <c r="E53" s="157" t="str">
        <f t="shared" ref="E53:E56" si="22">IF(OR(A53="",B53="",C53=""),"",IF(A53="定例積立",CONCATENATE(B53,"/",C53,"/","25"),IF(AND(A53="手当積立",C53=6),CONCATENATE(B53,"/",SUM(C53,1),"/","5"),IF(AND(A53="手当積立",C53=12),CONCATENATE(B53,"/",C53,"/","15"),CONCATENATE(B53,"/",C53,"/",D53)))))</f>
        <v/>
      </c>
      <c r="F53" s="158" t="str">
        <f>IF(Q48=0,"",Q48)</f>
        <v/>
      </c>
      <c r="G53" s="158" t="str">
        <f>IF(A53="","",F53)</f>
        <v/>
      </c>
      <c r="H53" s="131" t="str">
        <f>IF(B53="","",EOMONTH(LOOKUP(2,1/(H34:H48&lt;&gt;""),H34:H48),12))</f>
        <v/>
      </c>
      <c r="I53" s="132" t="str">
        <f>IF(E53="","",SUM((H53-E53),1))</f>
        <v/>
      </c>
      <c r="J53" s="133" t="str">
        <f>IF(A53="","",H53-DATEVALUE(CONCATENATE(SUM(YEAR(H53),-1),"/3/31")))</f>
        <v/>
      </c>
      <c r="K53" s="134">
        <f>IF(ISERROR(ROUNDDOWN(G53/100,0)*100),0,ROUNDDOWN(G53/100,0)*100)</f>
        <v>0</v>
      </c>
      <c r="L53" s="135">
        <f t="shared" ref="L53:L67" si="23">IFERROR(ROUNDDOWN(K53*I53/J53,0),0)</f>
        <v>0</v>
      </c>
      <c r="M53" s="117"/>
      <c r="N53" s="116"/>
      <c r="O53" s="117"/>
      <c r="P53" s="111"/>
      <c r="Q53" s="161" t="s">
        <v>57</v>
      </c>
      <c r="R53" s="162"/>
    </row>
    <row r="54" spans="1:18" ht="18" customHeight="1">
      <c r="A54" s="155" t="str">
        <f>IF(B54="","",$M$3)</f>
        <v/>
      </c>
      <c r="B54" s="155" t="str">
        <f>B53</f>
        <v/>
      </c>
      <c r="C54" s="155" t="str">
        <f>IF(C53="","",$O$2)</f>
        <v/>
      </c>
      <c r="D54" s="153"/>
      <c r="E54" s="157" t="str">
        <f t="shared" si="22"/>
        <v/>
      </c>
      <c r="F54" s="158" t="str">
        <f>IF(ISERROR(VLOOKUP(A54,$B$10:$E$11,4,FALSE)),"",VLOOKUP(A54,$B$10:$E$11,4,FALSE))</f>
        <v/>
      </c>
      <c r="G54" s="158" t="str">
        <f t="shared" ref="G54:G67" si="24">IF(A54="","",F54)</f>
        <v/>
      </c>
      <c r="H54" s="131" t="str">
        <f>IF(B53="","",EOMONTH(LOOKUP(2,1/(H34:H48&lt;&gt;""),H34:H48),12))</f>
        <v/>
      </c>
      <c r="I54" s="132" t="str">
        <f t="shared" ref="I54:I67" si="25">IF(E54="","",SUM((H54-E54),1))</f>
        <v/>
      </c>
      <c r="J54" s="133" t="str">
        <f t="shared" ref="J54:J67" si="26">IF(A54="","",H54-DATEVALUE(CONCATENATE(SUM(YEAR(H54),-1),"/3/31")))</f>
        <v/>
      </c>
      <c r="K54" s="134">
        <f t="shared" ref="K54:K67" si="27">IF(ISERROR(ROUNDDOWN(G54/100,0)*100),0,ROUNDDOWN(G54/100,0)*100)</f>
        <v>0</v>
      </c>
      <c r="L54" s="135">
        <f t="shared" si="23"/>
        <v>0</v>
      </c>
      <c r="M54" s="117"/>
      <c r="N54" s="116"/>
      <c r="O54" s="117"/>
      <c r="P54" s="111"/>
      <c r="Q54" s="180">
        <v>0.15315000000000001</v>
      </c>
      <c r="R54" s="181"/>
    </row>
    <row r="55" spans="1:18" ht="18" customHeight="1">
      <c r="A55" s="155" t="str">
        <f t="shared" ref="A55:A56" si="28">IF(B55="","",$M$3)</f>
        <v/>
      </c>
      <c r="B55" s="155" t="str">
        <f>B53</f>
        <v/>
      </c>
      <c r="C55" s="155" t="str">
        <f>IF(C53="","",$O$3)</f>
        <v/>
      </c>
      <c r="D55" s="153"/>
      <c r="E55" s="157" t="str">
        <f t="shared" si="22"/>
        <v/>
      </c>
      <c r="F55" s="158" t="str">
        <f t="shared" ref="F55:F67" si="29">IF(ISERROR(VLOOKUP(A55,$B$10:$E$11,4,FALSE)),"",VLOOKUP(A55,$B$10:$E$11,4,FALSE))</f>
        <v/>
      </c>
      <c r="G55" s="158" t="str">
        <f t="shared" si="24"/>
        <v/>
      </c>
      <c r="H55" s="131" t="str">
        <f>IF(B53="","",EOMONTH(LOOKUP(2,1/(H34:H48&lt;&gt;""),H34:H48),12))</f>
        <v/>
      </c>
      <c r="I55" s="132" t="str">
        <f t="shared" si="25"/>
        <v/>
      </c>
      <c r="J55" s="133" t="str">
        <f t="shared" si="26"/>
        <v/>
      </c>
      <c r="K55" s="134">
        <f t="shared" si="27"/>
        <v>0</v>
      </c>
      <c r="L55" s="135">
        <f t="shared" si="23"/>
        <v>0</v>
      </c>
      <c r="M55" s="117"/>
      <c r="N55" s="116"/>
      <c r="O55" s="117"/>
      <c r="P55" s="111"/>
    </row>
    <row r="56" spans="1:18" ht="18" customHeight="1">
      <c r="A56" s="155" t="str">
        <f t="shared" si="28"/>
        <v/>
      </c>
      <c r="B56" s="155" t="str">
        <f>B53</f>
        <v/>
      </c>
      <c r="C56" s="155" t="str">
        <f>IF(C53="","",$O$4)</f>
        <v/>
      </c>
      <c r="D56" s="153"/>
      <c r="E56" s="157" t="str">
        <f t="shared" si="22"/>
        <v/>
      </c>
      <c r="F56" s="158" t="str">
        <f t="shared" si="29"/>
        <v/>
      </c>
      <c r="G56" s="158" t="str">
        <f t="shared" si="24"/>
        <v/>
      </c>
      <c r="H56" s="131" t="str">
        <f>IF(B53="","",EOMONTH(LOOKUP(2,1/(H34:H48&lt;&gt;""),H34:H48),12))</f>
        <v/>
      </c>
      <c r="I56" s="132" t="str">
        <f t="shared" si="25"/>
        <v/>
      </c>
      <c r="J56" s="133" t="str">
        <f t="shared" si="26"/>
        <v/>
      </c>
      <c r="K56" s="134">
        <f t="shared" si="27"/>
        <v>0</v>
      </c>
      <c r="L56" s="135">
        <f t="shared" si="23"/>
        <v>0</v>
      </c>
      <c r="M56" s="117"/>
      <c r="N56" s="116"/>
      <c r="O56" s="117"/>
      <c r="P56" s="111"/>
      <c r="Q56" s="163" t="s">
        <v>13</v>
      </c>
      <c r="R56" s="182">
        <v>0.05</v>
      </c>
    </row>
    <row r="57" spans="1:18" ht="18" customHeight="1">
      <c r="A57" s="155" t="str">
        <f>IF(B57="","",$M$4)</f>
        <v/>
      </c>
      <c r="B57" s="155" t="str">
        <f>B53</f>
        <v/>
      </c>
      <c r="C57" s="155" t="str">
        <f>IF(C53="","",$O$4)</f>
        <v/>
      </c>
      <c r="D57" s="153"/>
      <c r="E57" s="157" t="str">
        <f>IF(OR(A57="",B57="",C57=""),"",IF(A57="定例積立",CONCATENATE(B57,"/",C57,"/","25"),IF(AND(A57="手当積立",C57=6),CONCATENATE(B57,"/",SUM(C57,1),"/","5"),IF(AND(A57="手当積立",C57=12),CONCATENATE(B57,"/",C57,"/","15"),CONCATENATE(B57,"/",C57,"/",D57)))))</f>
        <v/>
      </c>
      <c r="F57" s="158" t="str">
        <f t="shared" si="29"/>
        <v/>
      </c>
      <c r="G57" s="158" t="str">
        <f t="shared" si="24"/>
        <v/>
      </c>
      <c r="H57" s="131" t="str">
        <f>IF(B53="","",EOMONTH(LOOKUP(2,1/(H34:H48&lt;&gt;""),H34:H48),12))</f>
        <v/>
      </c>
      <c r="I57" s="132" t="str">
        <f t="shared" si="25"/>
        <v/>
      </c>
      <c r="J57" s="133" t="str">
        <f t="shared" si="26"/>
        <v/>
      </c>
      <c r="K57" s="134">
        <f t="shared" si="27"/>
        <v>0</v>
      </c>
      <c r="L57" s="135">
        <f t="shared" si="23"/>
        <v>0</v>
      </c>
      <c r="M57" s="117"/>
      <c r="N57" s="116"/>
      <c r="O57" s="117"/>
      <c r="P57" s="111"/>
    </row>
    <row r="58" spans="1:18" ht="18" customHeight="1">
      <c r="A58" s="155" t="str">
        <f t="shared" ref="A58:A62" si="30">IF(B58="","",$M$3)</f>
        <v/>
      </c>
      <c r="B58" s="155" t="str">
        <f>B53</f>
        <v/>
      </c>
      <c r="C58" s="155" t="str">
        <f>IF(C53="","",$O$5)</f>
        <v/>
      </c>
      <c r="D58" s="153"/>
      <c r="E58" s="157" t="str">
        <f t="shared" ref="E58:E67" si="31">IF(OR(A58="",B58="",C58=""),"",IF(A58="定例積立",CONCATENATE(B58,"/",C58,"/","25"),IF(AND(A58="手当積立",C58=6),CONCATENATE(B58,"/",SUM(C58,1),"/","5"),IF(AND(A58="手当積立",C58=12),CONCATENATE(B58,"/",C58,"/","15"),CONCATENATE(B58,"/",C58,"/",D58)))))</f>
        <v/>
      </c>
      <c r="F58" s="158" t="str">
        <f t="shared" si="29"/>
        <v/>
      </c>
      <c r="G58" s="158" t="str">
        <f t="shared" si="24"/>
        <v/>
      </c>
      <c r="H58" s="131" t="str">
        <f>IF(B53="","",EOMONTH(LOOKUP(2,1/(H34:H48&lt;&gt;""),H34:H48),12))</f>
        <v/>
      </c>
      <c r="I58" s="132" t="str">
        <f t="shared" si="25"/>
        <v/>
      </c>
      <c r="J58" s="133" t="str">
        <f t="shared" si="26"/>
        <v/>
      </c>
      <c r="K58" s="134">
        <f t="shared" si="27"/>
        <v>0</v>
      </c>
      <c r="L58" s="135">
        <f t="shared" si="23"/>
        <v>0</v>
      </c>
      <c r="M58" s="117"/>
      <c r="N58" s="116"/>
      <c r="O58" s="117"/>
      <c r="P58" s="111"/>
      <c r="Q58" s="164" t="s">
        <v>81</v>
      </c>
      <c r="R58" s="165"/>
    </row>
    <row r="59" spans="1:18" ht="18" customHeight="1">
      <c r="A59" s="155" t="str">
        <f t="shared" si="30"/>
        <v/>
      </c>
      <c r="B59" s="155" t="str">
        <f>B53</f>
        <v/>
      </c>
      <c r="C59" s="155" t="str">
        <f>IF(C53="","",$O$6)</f>
        <v/>
      </c>
      <c r="D59" s="153"/>
      <c r="E59" s="157" t="str">
        <f t="shared" si="31"/>
        <v/>
      </c>
      <c r="F59" s="158" t="str">
        <f t="shared" si="29"/>
        <v/>
      </c>
      <c r="G59" s="158" t="str">
        <f t="shared" si="24"/>
        <v/>
      </c>
      <c r="H59" s="131" t="str">
        <f>IF(B53="","",EOMONTH(LOOKUP(2,1/(H34:H48&lt;&gt;""),H34:H48),12))</f>
        <v/>
      </c>
      <c r="I59" s="132" t="str">
        <f t="shared" si="25"/>
        <v/>
      </c>
      <c r="J59" s="133" t="str">
        <f t="shared" si="26"/>
        <v/>
      </c>
      <c r="K59" s="134">
        <f t="shared" si="27"/>
        <v>0</v>
      </c>
      <c r="L59" s="135">
        <f t="shared" si="23"/>
        <v>0</v>
      </c>
      <c r="M59" s="117"/>
      <c r="N59" s="116"/>
      <c r="O59" s="117"/>
      <c r="P59" s="111"/>
      <c r="Q59" s="166" t="s">
        <v>11</v>
      </c>
      <c r="R59" s="167">
        <f>ROUNDDOWN(L68*R51,0)</f>
        <v>0</v>
      </c>
    </row>
    <row r="60" spans="1:18" ht="18" customHeight="1">
      <c r="A60" s="155" t="str">
        <f t="shared" si="30"/>
        <v/>
      </c>
      <c r="B60" s="155" t="str">
        <f>B53</f>
        <v/>
      </c>
      <c r="C60" s="155" t="str">
        <f>IF(C53="","",$O$7)</f>
        <v/>
      </c>
      <c r="D60" s="153"/>
      <c r="E60" s="157" t="str">
        <f t="shared" si="31"/>
        <v/>
      </c>
      <c r="F60" s="158" t="str">
        <f t="shared" si="29"/>
        <v/>
      </c>
      <c r="G60" s="158" t="str">
        <f t="shared" si="24"/>
        <v/>
      </c>
      <c r="H60" s="131" t="str">
        <f>IF(B53="","",EOMONTH(LOOKUP(2,1/(H34:H48&lt;&gt;""),H34:H48),12))</f>
        <v/>
      </c>
      <c r="I60" s="132" t="str">
        <f t="shared" si="25"/>
        <v/>
      </c>
      <c r="J60" s="133" t="str">
        <f t="shared" si="26"/>
        <v/>
      </c>
      <c r="K60" s="134">
        <f t="shared" si="27"/>
        <v>0</v>
      </c>
      <c r="L60" s="135">
        <f t="shared" si="23"/>
        <v>0</v>
      </c>
      <c r="M60" s="117"/>
      <c r="N60" s="116"/>
      <c r="O60" s="117"/>
      <c r="P60" s="111"/>
      <c r="Q60" s="166" t="s">
        <v>12</v>
      </c>
      <c r="R60" s="168">
        <f>ROUNDDOWN(R59*Q54,0)</f>
        <v>0</v>
      </c>
    </row>
    <row r="61" spans="1:18" ht="18" customHeight="1">
      <c r="A61" s="155" t="str">
        <f t="shared" si="30"/>
        <v/>
      </c>
      <c r="B61" s="155" t="str">
        <f>B53</f>
        <v/>
      </c>
      <c r="C61" s="155" t="str">
        <f>IF(C53="","",$O$8)</f>
        <v/>
      </c>
      <c r="D61" s="153"/>
      <c r="E61" s="157" t="str">
        <f t="shared" si="31"/>
        <v/>
      </c>
      <c r="F61" s="158" t="str">
        <f t="shared" si="29"/>
        <v/>
      </c>
      <c r="G61" s="158" t="str">
        <f t="shared" si="24"/>
        <v/>
      </c>
      <c r="H61" s="131" t="str">
        <f>IF(B53="","",EOMONTH(LOOKUP(2,1/(H34:H48&lt;&gt;""),H34:H48),12))</f>
        <v/>
      </c>
      <c r="I61" s="132" t="str">
        <f t="shared" si="25"/>
        <v/>
      </c>
      <c r="J61" s="133" t="str">
        <f t="shared" si="26"/>
        <v/>
      </c>
      <c r="K61" s="134">
        <f t="shared" si="27"/>
        <v>0</v>
      </c>
      <c r="L61" s="135">
        <f t="shared" si="23"/>
        <v>0</v>
      </c>
      <c r="M61" s="117"/>
      <c r="N61" s="116"/>
      <c r="O61" s="117"/>
      <c r="P61" s="111"/>
      <c r="Q61" s="169" t="s">
        <v>13</v>
      </c>
      <c r="R61" s="167">
        <f>ROUNDDOWN(R59*R56,0)</f>
        <v>0</v>
      </c>
    </row>
    <row r="62" spans="1:18" ht="18" customHeight="1">
      <c r="A62" s="155" t="str">
        <f t="shared" si="30"/>
        <v/>
      </c>
      <c r="B62" s="155" t="str">
        <f>B53</f>
        <v/>
      </c>
      <c r="C62" s="155" t="str">
        <f>IF(C53="","",$O$9)</f>
        <v/>
      </c>
      <c r="D62" s="153"/>
      <c r="E62" s="157" t="str">
        <f t="shared" si="31"/>
        <v/>
      </c>
      <c r="F62" s="158" t="str">
        <f t="shared" si="29"/>
        <v/>
      </c>
      <c r="G62" s="158" t="str">
        <f t="shared" si="24"/>
        <v/>
      </c>
      <c r="H62" s="131" t="str">
        <f>IF(B53="","",EOMONTH(LOOKUP(2,1/(H34:H48&lt;&gt;""),H34:H48),12))</f>
        <v/>
      </c>
      <c r="I62" s="132" t="str">
        <f t="shared" si="25"/>
        <v/>
      </c>
      <c r="J62" s="133" t="str">
        <f t="shared" si="26"/>
        <v/>
      </c>
      <c r="K62" s="134">
        <f t="shared" si="27"/>
        <v>0</v>
      </c>
      <c r="L62" s="135">
        <f t="shared" si="23"/>
        <v>0</v>
      </c>
      <c r="M62" s="117"/>
      <c r="N62" s="116"/>
      <c r="O62" s="117"/>
      <c r="P62" s="111"/>
      <c r="Q62" s="170" t="s">
        <v>82</v>
      </c>
      <c r="R62" s="171">
        <f>SUM(R60:R61)</f>
        <v>0</v>
      </c>
    </row>
    <row r="63" spans="1:18" ht="18" customHeight="1">
      <c r="A63" s="155" t="str">
        <f>IF(B63="","",$M$4)</f>
        <v/>
      </c>
      <c r="B63" s="155" t="str">
        <f>B53</f>
        <v/>
      </c>
      <c r="C63" s="155" t="str">
        <f>IF(C53="","",$O$10)</f>
        <v/>
      </c>
      <c r="D63" s="153"/>
      <c r="E63" s="157" t="str">
        <f t="shared" si="31"/>
        <v/>
      </c>
      <c r="F63" s="158" t="str">
        <f t="shared" si="29"/>
        <v/>
      </c>
      <c r="G63" s="158" t="str">
        <f t="shared" si="24"/>
        <v/>
      </c>
      <c r="H63" s="131" t="str">
        <f>IF(B53="","",EOMONTH(LOOKUP(2,1/(H34:H48&lt;&gt;""),H34:H48),12))</f>
        <v/>
      </c>
      <c r="I63" s="132" t="str">
        <f t="shared" si="25"/>
        <v/>
      </c>
      <c r="J63" s="133" t="str">
        <f t="shared" si="26"/>
        <v/>
      </c>
      <c r="K63" s="134">
        <f t="shared" si="27"/>
        <v>0</v>
      </c>
      <c r="L63" s="135">
        <f t="shared" si="23"/>
        <v>0</v>
      </c>
      <c r="M63" s="117"/>
      <c r="N63" s="116"/>
      <c r="O63" s="117"/>
      <c r="P63" s="111"/>
      <c r="Q63" s="172" t="s">
        <v>58</v>
      </c>
      <c r="R63" s="173">
        <f>R59-R62</f>
        <v>0</v>
      </c>
    </row>
    <row r="64" spans="1:18" ht="18" customHeight="1">
      <c r="A64" s="155" t="str">
        <f t="shared" ref="A64:A67" si="32">IF(B64="","",$M$3)</f>
        <v/>
      </c>
      <c r="B64" s="155" t="str">
        <f>B53</f>
        <v/>
      </c>
      <c r="C64" s="155" t="str">
        <f>IF(C53="","",$O$10)</f>
        <v/>
      </c>
      <c r="D64" s="153"/>
      <c r="E64" s="157" t="str">
        <f t="shared" si="31"/>
        <v/>
      </c>
      <c r="F64" s="158" t="str">
        <f t="shared" si="29"/>
        <v/>
      </c>
      <c r="G64" s="158" t="str">
        <f t="shared" si="24"/>
        <v/>
      </c>
      <c r="H64" s="131" t="str">
        <f>IF(B53="","",EOMONTH(LOOKUP(2,1/(H34:H48&lt;&gt;""),H34:H48),12))</f>
        <v/>
      </c>
      <c r="I64" s="132" t="str">
        <f t="shared" si="25"/>
        <v/>
      </c>
      <c r="J64" s="133" t="str">
        <f t="shared" si="26"/>
        <v/>
      </c>
      <c r="K64" s="134">
        <f t="shared" si="27"/>
        <v>0</v>
      </c>
      <c r="L64" s="135">
        <f t="shared" si="23"/>
        <v>0</v>
      </c>
      <c r="M64" s="117"/>
      <c r="N64" s="116"/>
      <c r="O64" s="117"/>
      <c r="P64" s="111"/>
    </row>
    <row r="65" spans="1:18" ht="18" customHeight="1" thickBot="1">
      <c r="A65" s="155" t="str">
        <f t="shared" si="32"/>
        <v/>
      </c>
      <c r="B65" s="155" t="str">
        <f>IF(B53="","",SUM(B53,1))</f>
        <v/>
      </c>
      <c r="C65" s="155" t="str">
        <f>IF(C53="","",$O$11)</f>
        <v/>
      </c>
      <c r="D65" s="153"/>
      <c r="E65" s="157" t="str">
        <f t="shared" si="31"/>
        <v/>
      </c>
      <c r="F65" s="158" t="str">
        <f t="shared" si="29"/>
        <v/>
      </c>
      <c r="G65" s="158" t="str">
        <f t="shared" si="24"/>
        <v/>
      </c>
      <c r="H65" s="131" t="str">
        <f>IF(B53="","",EOMONTH(LOOKUP(2,1/(H34:H48&lt;&gt;""),H34:H48),12))</f>
        <v/>
      </c>
      <c r="I65" s="132" t="str">
        <f t="shared" si="25"/>
        <v/>
      </c>
      <c r="J65" s="133" t="str">
        <f t="shared" si="26"/>
        <v/>
      </c>
      <c r="K65" s="134">
        <f t="shared" si="27"/>
        <v>0</v>
      </c>
      <c r="L65" s="135">
        <f t="shared" si="23"/>
        <v>0</v>
      </c>
      <c r="M65" s="117"/>
      <c r="N65" s="116"/>
      <c r="O65" s="117"/>
      <c r="P65" s="111"/>
    </row>
    <row r="66" spans="1:18" ht="18" customHeight="1" thickTop="1">
      <c r="A66" s="155" t="str">
        <f t="shared" si="32"/>
        <v/>
      </c>
      <c r="B66" s="155" t="str">
        <f>IF(B53="","",B65)</f>
        <v/>
      </c>
      <c r="C66" s="155" t="str">
        <f>IF(C53="","",$O$12)</f>
        <v/>
      </c>
      <c r="D66" s="153"/>
      <c r="E66" s="157" t="str">
        <f t="shared" si="31"/>
        <v/>
      </c>
      <c r="F66" s="158" t="str">
        <f t="shared" si="29"/>
        <v/>
      </c>
      <c r="G66" s="158" t="str">
        <f t="shared" si="24"/>
        <v/>
      </c>
      <c r="H66" s="131" t="str">
        <f>IF(B53="","",EOMONTH(LOOKUP(2,1/(H34:H48&lt;&gt;""),H34:H48),12))</f>
        <v/>
      </c>
      <c r="I66" s="132" t="str">
        <f t="shared" si="25"/>
        <v/>
      </c>
      <c r="J66" s="133" t="str">
        <f t="shared" si="26"/>
        <v/>
      </c>
      <c r="K66" s="134">
        <f t="shared" si="27"/>
        <v>0</v>
      </c>
      <c r="L66" s="135">
        <f t="shared" si="23"/>
        <v>0</v>
      </c>
      <c r="M66" s="117"/>
      <c r="N66" s="116"/>
      <c r="O66" s="117"/>
      <c r="P66" s="111"/>
      <c r="Q66" s="174" t="s">
        <v>80</v>
      </c>
      <c r="R66" s="175"/>
    </row>
    <row r="67" spans="1:18" ht="18" customHeight="1" thickBot="1">
      <c r="A67" s="155" t="str">
        <f t="shared" si="32"/>
        <v/>
      </c>
      <c r="B67" s="155" t="str">
        <f>IF(B53="","",B65)</f>
        <v/>
      </c>
      <c r="C67" s="155" t="str">
        <f>IF(C53="","",$O$13)</f>
        <v/>
      </c>
      <c r="D67" s="153"/>
      <c r="E67" s="157" t="str">
        <f t="shared" si="31"/>
        <v/>
      </c>
      <c r="F67" s="158" t="str">
        <f t="shared" si="29"/>
        <v/>
      </c>
      <c r="G67" s="158" t="str">
        <f t="shared" si="24"/>
        <v/>
      </c>
      <c r="H67" s="131" t="str">
        <f>IF(B53="","",EOMONTH(LOOKUP(2,1/(H34:H48&lt;&gt;""),H34:H48),12))</f>
        <v/>
      </c>
      <c r="I67" s="132" t="str">
        <f t="shared" si="25"/>
        <v/>
      </c>
      <c r="J67" s="133" t="str">
        <f t="shared" si="26"/>
        <v/>
      </c>
      <c r="K67" s="134">
        <f t="shared" si="27"/>
        <v>0</v>
      </c>
      <c r="L67" s="135">
        <f t="shared" si="23"/>
        <v>0</v>
      </c>
      <c r="M67" s="117"/>
      <c r="N67" s="116"/>
      <c r="O67" s="117"/>
      <c r="P67" s="111"/>
      <c r="Q67" s="176" t="str">
        <f>IF(F53="","",SUM(G68,R63))</f>
        <v/>
      </c>
      <c r="R67" s="177"/>
    </row>
    <row r="68" spans="1:18" ht="18" customHeight="1" thickTop="1">
      <c r="E68" s="138"/>
      <c r="F68" s="159" t="s">
        <v>79</v>
      </c>
      <c r="G68" s="160">
        <f>SUM(G53:G67)</f>
        <v>0</v>
      </c>
      <c r="H68" s="138"/>
      <c r="I68" s="141"/>
      <c r="J68" s="141"/>
      <c r="K68" s="142"/>
      <c r="L68" s="135">
        <f>SUM(L53:L67)</f>
        <v>0</v>
      </c>
      <c r="M68" s="117"/>
      <c r="N68" s="116"/>
      <c r="O68" s="117"/>
      <c r="P68" s="111"/>
    </row>
    <row r="69" spans="1:18" ht="18" customHeight="1">
      <c r="A69" s="111" t="s">
        <v>70</v>
      </c>
      <c r="M69" s="117"/>
      <c r="N69" s="116"/>
      <c r="O69" s="117"/>
    </row>
    <row r="70" spans="1:18" ht="18" customHeight="1">
      <c r="A70" s="150" t="s">
        <v>66</v>
      </c>
      <c r="B70" s="150" t="s">
        <v>56</v>
      </c>
      <c r="C70" s="150"/>
      <c r="D70" s="150"/>
      <c r="E70" s="150" t="s">
        <v>65</v>
      </c>
      <c r="F70" s="151" t="s">
        <v>77</v>
      </c>
      <c r="G70" s="152" t="s">
        <v>78</v>
      </c>
      <c r="H70" s="118" t="s">
        <v>7</v>
      </c>
      <c r="I70" s="118" t="s">
        <v>8</v>
      </c>
      <c r="J70" s="118" t="s">
        <v>9</v>
      </c>
      <c r="K70" s="123" t="s">
        <v>10</v>
      </c>
      <c r="L70" s="124" t="s">
        <v>55</v>
      </c>
      <c r="M70" s="119"/>
      <c r="N70" s="116"/>
      <c r="O70" s="117"/>
      <c r="Q70" s="153" t="s">
        <v>50</v>
      </c>
      <c r="R70" s="179">
        <v>1.4999999999999999E-2</v>
      </c>
    </row>
    <row r="71" spans="1:18" ht="18" customHeight="1">
      <c r="A71" s="150"/>
      <c r="B71" s="153" t="s">
        <v>52</v>
      </c>
      <c r="C71" s="153" t="s">
        <v>53</v>
      </c>
      <c r="D71" s="153" t="s">
        <v>54</v>
      </c>
      <c r="E71" s="150"/>
      <c r="F71" s="154"/>
      <c r="G71" s="152"/>
      <c r="H71" s="118"/>
      <c r="I71" s="118"/>
      <c r="J71" s="118"/>
      <c r="K71" s="123"/>
      <c r="L71" s="124"/>
      <c r="M71" s="115"/>
      <c r="N71" s="116"/>
      <c r="O71" s="117"/>
      <c r="P71" s="111"/>
    </row>
    <row r="72" spans="1:18" ht="18" customHeight="1">
      <c r="A72" s="155" t="str">
        <f>IF(B72="","",$M$2)</f>
        <v/>
      </c>
      <c r="B72" s="155" t="str">
        <f>IF(B53="","",YEAR(LOOKUP(2,1/(H53:H67&lt;&gt;""),H53:H67)))</f>
        <v/>
      </c>
      <c r="C72" s="155" t="str">
        <f>IF(B72="","",$O$2)</f>
        <v/>
      </c>
      <c r="D72" s="155" t="str">
        <f>IF(C72="","",1)</f>
        <v/>
      </c>
      <c r="E72" s="157" t="str">
        <f t="shared" ref="E72:E75" si="33">IF(OR(A72="",B72="",C72=""),"",IF(A72="定例積立",CONCATENATE(B72,"/",C72,"/","25"),IF(AND(A72="手当積立",C72=6),CONCATENATE(B72,"/",SUM(C72,1),"/","5"),IF(AND(A72="手当積立",C72=12),CONCATENATE(B72,"/",C72,"/","15"),CONCATENATE(B72,"/",C72,"/",D72)))))</f>
        <v/>
      </c>
      <c r="F72" s="158" t="str">
        <f>IF(Q67=0,"",Q67)</f>
        <v/>
      </c>
      <c r="G72" s="158" t="str">
        <f>IF(A72="","",F72)</f>
        <v/>
      </c>
      <c r="H72" s="131" t="str">
        <f>IF(B72="","",EOMONTH(LOOKUP(2,1/(H53:H67&lt;&gt;""),H53:H67),12))</f>
        <v/>
      </c>
      <c r="I72" s="132" t="str">
        <f>IF(E72="","",SUM((H72-E72),1))</f>
        <v/>
      </c>
      <c r="J72" s="133" t="str">
        <f>IF(A72="","",H72-DATEVALUE(CONCATENATE(SUM(YEAR(H72),-1),"/3/31")))</f>
        <v/>
      </c>
      <c r="K72" s="134">
        <f>IF(ISERROR(ROUNDDOWN(G72/100,0)*100),0,ROUNDDOWN(G72/100,0)*100)</f>
        <v>0</v>
      </c>
      <c r="L72" s="135">
        <f t="shared" ref="L72:L86" si="34">IFERROR(ROUNDDOWN(K72*I72/J72,0),0)</f>
        <v>0</v>
      </c>
      <c r="M72" s="117"/>
      <c r="N72" s="116"/>
      <c r="O72" s="117"/>
      <c r="P72" s="111"/>
      <c r="Q72" s="161" t="s">
        <v>57</v>
      </c>
      <c r="R72" s="162"/>
    </row>
    <row r="73" spans="1:18" ht="18" customHeight="1">
      <c r="A73" s="155" t="str">
        <f>IF(B73="","",$M$3)</f>
        <v/>
      </c>
      <c r="B73" s="155" t="str">
        <f>B72</f>
        <v/>
      </c>
      <c r="C73" s="155" t="str">
        <f>IF(C72="","",$O$2)</f>
        <v/>
      </c>
      <c r="D73" s="153"/>
      <c r="E73" s="157" t="str">
        <f t="shared" si="33"/>
        <v/>
      </c>
      <c r="F73" s="158" t="str">
        <f>IF(ISERROR(VLOOKUP(A73,$B$10:$E$11,4,FALSE)),"",VLOOKUP(A73,$B$10:$E$11,4,FALSE))</f>
        <v/>
      </c>
      <c r="G73" s="158" t="str">
        <f t="shared" ref="G73:G86" si="35">IF(A73="","",F73)</f>
        <v/>
      </c>
      <c r="H73" s="131" t="str">
        <f>IF(B72="","",EOMONTH(LOOKUP(2,1/(H53:H67&lt;&gt;""),H53:H67),12))</f>
        <v/>
      </c>
      <c r="I73" s="132" t="str">
        <f t="shared" ref="I73:I86" si="36">IF(E73="","",SUM((H73-E73),1))</f>
        <v/>
      </c>
      <c r="J73" s="133" t="str">
        <f t="shared" ref="J73:J86" si="37">IF(A73="","",H73-DATEVALUE(CONCATENATE(SUM(YEAR(H73),-1),"/3/31")))</f>
        <v/>
      </c>
      <c r="K73" s="134">
        <f t="shared" ref="K73:K86" si="38">IF(ISERROR(ROUNDDOWN(G73/100,0)*100),0,ROUNDDOWN(G73/100,0)*100)</f>
        <v>0</v>
      </c>
      <c r="L73" s="135">
        <f t="shared" si="34"/>
        <v>0</v>
      </c>
      <c r="M73" s="117"/>
      <c r="N73" s="116"/>
      <c r="O73" s="117"/>
      <c r="P73" s="111"/>
      <c r="Q73" s="180">
        <v>0.15315000000000001</v>
      </c>
      <c r="R73" s="181"/>
    </row>
    <row r="74" spans="1:18" ht="18" customHeight="1">
      <c r="A74" s="155" t="str">
        <f t="shared" ref="A74:A75" si="39">IF(B74="","",$M$3)</f>
        <v/>
      </c>
      <c r="B74" s="155" t="str">
        <f>B72</f>
        <v/>
      </c>
      <c r="C74" s="155" t="str">
        <f>IF(C72="","",$O$3)</f>
        <v/>
      </c>
      <c r="D74" s="153"/>
      <c r="E74" s="157" t="str">
        <f t="shared" si="33"/>
        <v/>
      </c>
      <c r="F74" s="158" t="str">
        <f t="shared" ref="F74:F86" si="40">IF(ISERROR(VLOOKUP(A74,$B$10:$E$11,4,FALSE)),"",VLOOKUP(A74,$B$10:$E$11,4,FALSE))</f>
        <v/>
      </c>
      <c r="G74" s="158" t="str">
        <f t="shared" si="35"/>
        <v/>
      </c>
      <c r="H74" s="131" t="str">
        <f>IF(B72="","",EOMONTH(LOOKUP(2,1/(H53:H67&lt;&gt;""),H53:H67),12))</f>
        <v/>
      </c>
      <c r="I74" s="132" t="str">
        <f t="shared" si="36"/>
        <v/>
      </c>
      <c r="J74" s="133" t="str">
        <f t="shared" si="37"/>
        <v/>
      </c>
      <c r="K74" s="134">
        <f t="shared" si="38"/>
        <v>0</v>
      </c>
      <c r="L74" s="135">
        <f t="shared" si="34"/>
        <v>0</v>
      </c>
      <c r="M74" s="117"/>
      <c r="N74" s="116"/>
      <c r="O74" s="117"/>
      <c r="P74" s="111"/>
    </row>
    <row r="75" spans="1:18" ht="18" customHeight="1">
      <c r="A75" s="155" t="str">
        <f t="shared" si="39"/>
        <v/>
      </c>
      <c r="B75" s="155" t="str">
        <f>B72</f>
        <v/>
      </c>
      <c r="C75" s="155" t="str">
        <f>IF(C72="","",$O$4)</f>
        <v/>
      </c>
      <c r="D75" s="153"/>
      <c r="E75" s="157" t="str">
        <f t="shared" si="33"/>
        <v/>
      </c>
      <c r="F75" s="158" t="str">
        <f t="shared" si="40"/>
        <v/>
      </c>
      <c r="G75" s="158" t="str">
        <f t="shared" si="35"/>
        <v/>
      </c>
      <c r="H75" s="131" t="str">
        <f>IF(B72="","",EOMONTH(LOOKUP(2,1/(H53:H67&lt;&gt;""),H53:H67),12))</f>
        <v/>
      </c>
      <c r="I75" s="132" t="str">
        <f t="shared" si="36"/>
        <v/>
      </c>
      <c r="J75" s="133" t="str">
        <f t="shared" si="37"/>
        <v/>
      </c>
      <c r="K75" s="134">
        <f t="shared" si="38"/>
        <v>0</v>
      </c>
      <c r="L75" s="135">
        <f t="shared" si="34"/>
        <v>0</v>
      </c>
      <c r="M75" s="117"/>
      <c r="N75" s="116"/>
      <c r="O75" s="117"/>
      <c r="P75" s="111"/>
      <c r="Q75" s="163" t="s">
        <v>13</v>
      </c>
      <c r="R75" s="182">
        <v>0.05</v>
      </c>
    </row>
    <row r="76" spans="1:18" ht="18" customHeight="1">
      <c r="A76" s="155" t="str">
        <f>IF(B76="","",$M$4)</f>
        <v/>
      </c>
      <c r="B76" s="155" t="str">
        <f>B72</f>
        <v/>
      </c>
      <c r="C76" s="155" t="str">
        <f>IF(C72="","",$O$4)</f>
        <v/>
      </c>
      <c r="D76" s="153"/>
      <c r="E76" s="157" t="str">
        <f>IF(OR(A76="",B76="",C76=""),"",IF(A76="定例積立",CONCATENATE(B76,"/",C76,"/","25"),IF(AND(A76="手当積立",C76=6),CONCATENATE(B76,"/",SUM(C76,1),"/","5"),IF(AND(A76="手当積立",C76=12),CONCATENATE(B76,"/",C76,"/","15"),CONCATENATE(B76,"/",C76,"/",D76)))))</f>
        <v/>
      </c>
      <c r="F76" s="158" t="str">
        <f t="shared" si="40"/>
        <v/>
      </c>
      <c r="G76" s="158" t="str">
        <f t="shared" si="35"/>
        <v/>
      </c>
      <c r="H76" s="131" t="str">
        <f>IF(B72="","",EOMONTH(LOOKUP(2,1/(H53:H67&lt;&gt;""),H53:H67),12))</f>
        <v/>
      </c>
      <c r="I76" s="132" t="str">
        <f t="shared" si="36"/>
        <v/>
      </c>
      <c r="J76" s="133" t="str">
        <f t="shared" si="37"/>
        <v/>
      </c>
      <c r="K76" s="134">
        <f t="shared" si="38"/>
        <v>0</v>
      </c>
      <c r="L76" s="135">
        <f t="shared" si="34"/>
        <v>0</v>
      </c>
      <c r="M76" s="117"/>
      <c r="N76" s="116"/>
      <c r="O76" s="117"/>
      <c r="P76" s="111"/>
    </row>
    <row r="77" spans="1:18" ht="18" customHeight="1">
      <c r="A77" s="155" t="str">
        <f t="shared" ref="A77:A81" si="41">IF(B77="","",$M$3)</f>
        <v/>
      </c>
      <c r="B77" s="155" t="str">
        <f>B72</f>
        <v/>
      </c>
      <c r="C77" s="155" t="str">
        <f>IF(C72="","",$O$5)</f>
        <v/>
      </c>
      <c r="D77" s="153"/>
      <c r="E77" s="157" t="str">
        <f t="shared" ref="E77:E86" si="42">IF(OR(A77="",B77="",C77=""),"",IF(A77="定例積立",CONCATENATE(B77,"/",C77,"/","25"),IF(AND(A77="手当積立",C77=6),CONCATENATE(B77,"/",SUM(C77,1),"/","5"),IF(AND(A77="手当積立",C77=12),CONCATENATE(B77,"/",C77,"/","15"),CONCATENATE(B77,"/",C77,"/",D77)))))</f>
        <v/>
      </c>
      <c r="F77" s="158" t="str">
        <f t="shared" si="40"/>
        <v/>
      </c>
      <c r="G77" s="158" t="str">
        <f t="shared" si="35"/>
        <v/>
      </c>
      <c r="H77" s="131" t="str">
        <f>IF(B72="","",EOMONTH(LOOKUP(2,1/(H53:H67&lt;&gt;""),H53:H67),12))</f>
        <v/>
      </c>
      <c r="I77" s="132" t="str">
        <f t="shared" si="36"/>
        <v/>
      </c>
      <c r="J77" s="133" t="str">
        <f t="shared" si="37"/>
        <v/>
      </c>
      <c r="K77" s="134">
        <f t="shared" si="38"/>
        <v>0</v>
      </c>
      <c r="L77" s="135">
        <f t="shared" si="34"/>
        <v>0</v>
      </c>
      <c r="M77" s="117"/>
      <c r="N77" s="116"/>
      <c r="O77" s="117"/>
      <c r="P77" s="111"/>
      <c r="Q77" s="164" t="s">
        <v>81</v>
      </c>
      <c r="R77" s="165"/>
    </row>
    <row r="78" spans="1:18" ht="18" customHeight="1">
      <c r="A78" s="155" t="str">
        <f t="shared" si="41"/>
        <v/>
      </c>
      <c r="B78" s="155" t="str">
        <f>B72</f>
        <v/>
      </c>
      <c r="C78" s="155" t="str">
        <f>IF(C72="","",$O$6)</f>
        <v/>
      </c>
      <c r="D78" s="153"/>
      <c r="E78" s="157" t="str">
        <f t="shared" si="42"/>
        <v/>
      </c>
      <c r="F78" s="158" t="str">
        <f t="shared" si="40"/>
        <v/>
      </c>
      <c r="G78" s="158" t="str">
        <f t="shared" si="35"/>
        <v/>
      </c>
      <c r="H78" s="131" t="str">
        <f>IF(B72="","",EOMONTH(LOOKUP(2,1/(H53:H67&lt;&gt;""),H53:H67),12))</f>
        <v/>
      </c>
      <c r="I78" s="132" t="str">
        <f t="shared" si="36"/>
        <v/>
      </c>
      <c r="J78" s="133" t="str">
        <f t="shared" si="37"/>
        <v/>
      </c>
      <c r="K78" s="134">
        <f t="shared" si="38"/>
        <v>0</v>
      </c>
      <c r="L78" s="135">
        <f t="shared" si="34"/>
        <v>0</v>
      </c>
      <c r="M78" s="117"/>
      <c r="N78" s="116"/>
      <c r="O78" s="117"/>
      <c r="P78" s="111"/>
      <c r="Q78" s="166" t="s">
        <v>11</v>
      </c>
      <c r="R78" s="167">
        <f>ROUNDDOWN(L87*R70,0)</f>
        <v>0</v>
      </c>
    </row>
    <row r="79" spans="1:18" ht="18" customHeight="1">
      <c r="A79" s="155" t="str">
        <f t="shared" si="41"/>
        <v/>
      </c>
      <c r="B79" s="155" t="str">
        <f>B72</f>
        <v/>
      </c>
      <c r="C79" s="155" t="str">
        <f>IF(C72="","",$O$7)</f>
        <v/>
      </c>
      <c r="D79" s="153"/>
      <c r="E79" s="157" t="str">
        <f t="shared" si="42"/>
        <v/>
      </c>
      <c r="F79" s="158" t="str">
        <f t="shared" si="40"/>
        <v/>
      </c>
      <c r="G79" s="158" t="str">
        <f t="shared" si="35"/>
        <v/>
      </c>
      <c r="H79" s="131" t="str">
        <f>IF(B72="","",EOMONTH(LOOKUP(2,1/(H53:H67&lt;&gt;""),H53:H67),12))</f>
        <v/>
      </c>
      <c r="I79" s="132" t="str">
        <f t="shared" si="36"/>
        <v/>
      </c>
      <c r="J79" s="133" t="str">
        <f t="shared" si="37"/>
        <v/>
      </c>
      <c r="K79" s="134">
        <f t="shared" si="38"/>
        <v>0</v>
      </c>
      <c r="L79" s="135">
        <f t="shared" si="34"/>
        <v>0</v>
      </c>
      <c r="M79" s="117"/>
      <c r="N79" s="116"/>
      <c r="O79" s="117"/>
      <c r="P79" s="111"/>
      <c r="Q79" s="166" t="s">
        <v>12</v>
      </c>
      <c r="R79" s="168">
        <f>ROUNDDOWN(R78*Q73,0)</f>
        <v>0</v>
      </c>
    </row>
    <row r="80" spans="1:18" ht="18" customHeight="1">
      <c r="A80" s="155" t="str">
        <f t="shared" si="41"/>
        <v/>
      </c>
      <c r="B80" s="155" t="str">
        <f>B72</f>
        <v/>
      </c>
      <c r="C80" s="155" t="str">
        <f>IF(C72="","",$O$8)</f>
        <v/>
      </c>
      <c r="D80" s="153"/>
      <c r="E80" s="157" t="str">
        <f t="shared" si="42"/>
        <v/>
      </c>
      <c r="F80" s="158" t="str">
        <f t="shared" si="40"/>
        <v/>
      </c>
      <c r="G80" s="158" t="str">
        <f t="shared" si="35"/>
        <v/>
      </c>
      <c r="H80" s="131" t="str">
        <f>IF(B72="","",EOMONTH(LOOKUP(2,1/(H53:H67&lt;&gt;""),H53:H67),12))</f>
        <v/>
      </c>
      <c r="I80" s="132" t="str">
        <f t="shared" si="36"/>
        <v/>
      </c>
      <c r="J80" s="133" t="str">
        <f t="shared" si="37"/>
        <v/>
      </c>
      <c r="K80" s="134">
        <f t="shared" si="38"/>
        <v>0</v>
      </c>
      <c r="L80" s="135">
        <f t="shared" si="34"/>
        <v>0</v>
      </c>
      <c r="M80" s="117"/>
      <c r="N80" s="116"/>
      <c r="O80" s="117"/>
      <c r="P80" s="111"/>
      <c r="Q80" s="169" t="s">
        <v>13</v>
      </c>
      <c r="R80" s="167">
        <f>ROUNDDOWN(R78*R75,0)</f>
        <v>0</v>
      </c>
    </row>
    <row r="81" spans="1:18" ht="18" customHeight="1">
      <c r="A81" s="155" t="str">
        <f t="shared" si="41"/>
        <v/>
      </c>
      <c r="B81" s="155" t="str">
        <f>B72</f>
        <v/>
      </c>
      <c r="C81" s="155" t="str">
        <f>IF(C72="","",$O$9)</f>
        <v/>
      </c>
      <c r="D81" s="153"/>
      <c r="E81" s="157" t="str">
        <f t="shared" si="42"/>
        <v/>
      </c>
      <c r="F81" s="158" t="str">
        <f t="shared" si="40"/>
        <v/>
      </c>
      <c r="G81" s="158" t="str">
        <f t="shared" si="35"/>
        <v/>
      </c>
      <c r="H81" s="131" t="str">
        <f>IF(B72="","",EOMONTH(LOOKUP(2,1/(H53:H67&lt;&gt;""),H53:H67),12))</f>
        <v/>
      </c>
      <c r="I81" s="132" t="str">
        <f t="shared" si="36"/>
        <v/>
      </c>
      <c r="J81" s="133" t="str">
        <f t="shared" si="37"/>
        <v/>
      </c>
      <c r="K81" s="134">
        <f t="shared" si="38"/>
        <v>0</v>
      </c>
      <c r="L81" s="135">
        <f t="shared" si="34"/>
        <v>0</v>
      </c>
      <c r="M81" s="117"/>
      <c r="N81" s="116"/>
      <c r="O81" s="117"/>
      <c r="P81" s="111"/>
      <c r="Q81" s="170" t="s">
        <v>82</v>
      </c>
      <c r="R81" s="171">
        <f>SUM(R79:R80)</f>
        <v>0</v>
      </c>
    </row>
    <row r="82" spans="1:18" ht="18" customHeight="1">
      <c r="A82" s="155" t="str">
        <f>IF(B82="","",$M$4)</f>
        <v/>
      </c>
      <c r="B82" s="155" t="str">
        <f>B72</f>
        <v/>
      </c>
      <c r="C82" s="155" t="str">
        <f>IF(C72="","",$O$10)</f>
        <v/>
      </c>
      <c r="D82" s="153"/>
      <c r="E82" s="157" t="str">
        <f t="shared" si="42"/>
        <v/>
      </c>
      <c r="F82" s="158" t="str">
        <f t="shared" si="40"/>
        <v/>
      </c>
      <c r="G82" s="158" t="str">
        <f t="shared" si="35"/>
        <v/>
      </c>
      <c r="H82" s="131" t="str">
        <f>IF(B72="","",EOMONTH(LOOKUP(2,1/(H53:H67&lt;&gt;""),H53:H67),12))</f>
        <v/>
      </c>
      <c r="I82" s="132" t="str">
        <f t="shared" si="36"/>
        <v/>
      </c>
      <c r="J82" s="133" t="str">
        <f t="shared" si="37"/>
        <v/>
      </c>
      <c r="K82" s="134">
        <f t="shared" si="38"/>
        <v>0</v>
      </c>
      <c r="L82" s="135">
        <f t="shared" si="34"/>
        <v>0</v>
      </c>
      <c r="M82" s="117"/>
      <c r="N82" s="116"/>
      <c r="O82" s="117"/>
      <c r="P82" s="111"/>
      <c r="Q82" s="172" t="s">
        <v>58</v>
      </c>
      <c r="R82" s="173">
        <f>R78-R81</f>
        <v>0</v>
      </c>
    </row>
    <row r="83" spans="1:18" ht="18" customHeight="1">
      <c r="A83" s="155" t="str">
        <f t="shared" ref="A83:A86" si="43">IF(B83="","",$M$3)</f>
        <v/>
      </c>
      <c r="B83" s="155" t="str">
        <f>B72</f>
        <v/>
      </c>
      <c r="C83" s="155" t="str">
        <f>IF(C72="","",$O$10)</f>
        <v/>
      </c>
      <c r="D83" s="153"/>
      <c r="E83" s="157" t="str">
        <f t="shared" si="42"/>
        <v/>
      </c>
      <c r="F83" s="158" t="str">
        <f t="shared" si="40"/>
        <v/>
      </c>
      <c r="G83" s="158" t="str">
        <f t="shared" si="35"/>
        <v/>
      </c>
      <c r="H83" s="131" t="str">
        <f>IF(B72="","",EOMONTH(LOOKUP(2,1/(H53:H67&lt;&gt;""),H53:H67),12))</f>
        <v/>
      </c>
      <c r="I83" s="132" t="str">
        <f t="shared" si="36"/>
        <v/>
      </c>
      <c r="J83" s="133" t="str">
        <f t="shared" si="37"/>
        <v/>
      </c>
      <c r="K83" s="134">
        <f t="shared" si="38"/>
        <v>0</v>
      </c>
      <c r="L83" s="135">
        <f t="shared" si="34"/>
        <v>0</v>
      </c>
      <c r="M83" s="117"/>
      <c r="N83" s="116"/>
      <c r="O83" s="117"/>
      <c r="P83" s="111"/>
    </row>
    <row r="84" spans="1:18" ht="18" customHeight="1" thickBot="1">
      <c r="A84" s="155" t="str">
        <f t="shared" si="43"/>
        <v/>
      </c>
      <c r="B84" s="155" t="str">
        <f>IF(B72="","",SUM(B72,1))</f>
        <v/>
      </c>
      <c r="C84" s="155" t="str">
        <f>IF(C72="","",$O$11)</f>
        <v/>
      </c>
      <c r="D84" s="153"/>
      <c r="E84" s="157" t="str">
        <f t="shared" si="42"/>
        <v/>
      </c>
      <c r="F84" s="158" t="str">
        <f t="shared" si="40"/>
        <v/>
      </c>
      <c r="G84" s="158" t="str">
        <f t="shared" si="35"/>
        <v/>
      </c>
      <c r="H84" s="131" t="str">
        <f>IF(B72="","",EOMONTH(LOOKUP(2,1/(H53:H67&lt;&gt;""),H53:H67),12))</f>
        <v/>
      </c>
      <c r="I84" s="132" t="str">
        <f t="shared" si="36"/>
        <v/>
      </c>
      <c r="J84" s="133" t="str">
        <f t="shared" si="37"/>
        <v/>
      </c>
      <c r="K84" s="134">
        <f t="shared" si="38"/>
        <v>0</v>
      </c>
      <c r="L84" s="135">
        <f t="shared" si="34"/>
        <v>0</v>
      </c>
      <c r="M84" s="117"/>
      <c r="N84" s="116"/>
      <c r="O84" s="117"/>
      <c r="P84" s="111"/>
    </row>
    <row r="85" spans="1:18" ht="18" customHeight="1" thickTop="1">
      <c r="A85" s="155" t="str">
        <f t="shared" si="43"/>
        <v/>
      </c>
      <c r="B85" s="155" t="str">
        <f>IF(B72="","",B84)</f>
        <v/>
      </c>
      <c r="C85" s="155" t="str">
        <f>IF(C72="","",$O$12)</f>
        <v/>
      </c>
      <c r="D85" s="153"/>
      <c r="E85" s="157" t="str">
        <f t="shared" si="42"/>
        <v/>
      </c>
      <c r="F85" s="158" t="str">
        <f t="shared" si="40"/>
        <v/>
      </c>
      <c r="G85" s="158" t="str">
        <f t="shared" si="35"/>
        <v/>
      </c>
      <c r="H85" s="131" t="str">
        <f>IF(B72="","",EOMONTH(LOOKUP(2,1/(H53:H67&lt;&gt;""),H53:H67),12))</f>
        <v/>
      </c>
      <c r="I85" s="132" t="str">
        <f t="shared" si="36"/>
        <v/>
      </c>
      <c r="J85" s="133" t="str">
        <f t="shared" si="37"/>
        <v/>
      </c>
      <c r="K85" s="134">
        <f t="shared" si="38"/>
        <v>0</v>
      </c>
      <c r="L85" s="135">
        <f t="shared" si="34"/>
        <v>0</v>
      </c>
      <c r="M85" s="117"/>
      <c r="N85" s="116"/>
      <c r="O85" s="117"/>
      <c r="P85" s="111"/>
      <c r="Q85" s="174" t="s">
        <v>80</v>
      </c>
      <c r="R85" s="175"/>
    </row>
    <row r="86" spans="1:18" ht="18" customHeight="1" thickBot="1">
      <c r="A86" s="155" t="str">
        <f t="shared" si="43"/>
        <v/>
      </c>
      <c r="B86" s="155" t="str">
        <f>IF(B72="","",B84)</f>
        <v/>
      </c>
      <c r="C86" s="155" t="str">
        <f>IF(C72="","",$O$13)</f>
        <v/>
      </c>
      <c r="D86" s="153"/>
      <c r="E86" s="157" t="str">
        <f t="shared" si="42"/>
        <v/>
      </c>
      <c r="F86" s="158" t="str">
        <f t="shared" si="40"/>
        <v/>
      </c>
      <c r="G86" s="158" t="str">
        <f t="shared" si="35"/>
        <v/>
      </c>
      <c r="H86" s="131" t="str">
        <f>IF(B72="","",EOMONTH(LOOKUP(2,1/(H53:H67&lt;&gt;""),H53:H67),12))</f>
        <v/>
      </c>
      <c r="I86" s="132" t="str">
        <f t="shared" si="36"/>
        <v/>
      </c>
      <c r="J86" s="133" t="str">
        <f t="shared" si="37"/>
        <v/>
      </c>
      <c r="K86" s="134">
        <f t="shared" si="38"/>
        <v>0</v>
      </c>
      <c r="L86" s="135">
        <f t="shared" si="34"/>
        <v>0</v>
      </c>
      <c r="M86" s="117"/>
      <c r="N86" s="116"/>
      <c r="O86" s="117"/>
      <c r="P86" s="111"/>
      <c r="Q86" s="176" t="str">
        <f>IF(F72="","",SUM(G87,R82))</f>
        <v/>
      </c>
      <c r="R86" s="177"/>
    </row>
    <row r="87" spans="1:18" ht="18" customHeight="1" thickTop="1">
      <c r="E87" s="138"/>
      <c r="F87" s="159" t="s">
        <v>79</v>
      </c>
      <c r="G87" s="160">
        <f>SUM(G72:G86)</f>
        <v>0</v>
      </c>
      <c r="H87" s="138"/>
      <c r="I87" s="141"/>
      <c r="J87" s="141"/>
      <c r="K87" s="142"/>
      <c r="L87" s="135">
        <f>SUM(L72:L86)</f>
        <v>0</v>
      </c>
      <c r="M87" s="117"/>
      <c r="N87" s="116"/>
      <c r="O87" s="117"/>
      <c r="P87" s="111"/>
    </row>
    <row r="88" spans="1:18" ht="18" customHeight="1">
      <c r="A88" s="111" t="s">
        <v>71</v>
      </c>
      <c r="M88" s="117"/>
      <c r="N88" s="116"/>
      <c r="O88" s="117"/>
    </row>
    <row r="89" spans="1:18" ht="18" customHeight="1">
      <c r="A89" s="150" t="s">
        <v>66</v>
      </c>
      <c r="B89" s="150" t="s">
        <v>56</v>
      </c>
      <c r="C89" s="150"/>
      <c r="D89" s="150"/>
      <c r="E89" s="150" t="s">
        <v>65</v>
      </c>
      <c r="F89" s="151" t="s">
        <v>77</v>
      </c>
      <c r="G89" s="152" t="s">
        <v>78</v>
      </c>
      <c r="H89" s="118" t="s">
        <v>7</v>
      </c>
      <c r="I89" s="118" t="s">
        <v>8</v>
      </c>
      <c r="J89" s="118" t="s">
        <v>9</v>
      </c>
      <c r="K89" s="123" t="s">
        <v>10</v>
      </c>
      <c r="L89" s="124" t="s">
        <v>55</v>
      </c>
      <c r="M89" s="119"/>
      <c r="N89" s="116"/>
      <c r="O89" s="117"/>
      <c r="Q89" s="153" t="s">
        <v>50</v>
      </c>
      <c r="R89" s="179">
        <v>1.4999999999999999E-2</v>
      </c>
    </row>
    <row r="90" spans="1:18" ht="18" customHeight="1">
      <c r="A90" s="150"/>
      <c r="B90" s="153" t="s">
        <v>52</v>
      </c>
      <c r="C90" s="153" t="s">
        <v>53</v>
      </c>
      <c r="D90" s="153" t="s">
        <v>54</v>
      </c>
      <c r="E90" s="150"/>
      <c r="F90" s="154"/>
      <c r="G90" s="152"/>
      <c r="H90" s="118"/>
      <c r="I90" s="118"/>
      <c r="J90" s="118"/>
      <c r="K90" s="123"/>
      <c r="L90" s="124"/>
      <c r="M90" s="115"/>
      <c r="N90" s="116"/>
      <c r="O90" s="117"/>
      <c r="P90" s="111"/>
    </row>
    <row r="91" spans="1:18" ht="18" customHeight="1">
      <c r="A91" s="155" t="str">
        <f>IF(B91="","",$M$2)</f>
        <v/>
      </c>
      <c r="B91" s="155" t="str">
        <f>IF(B72="","",YEAR(LOOKUP(2,1/(H72:H86&lt;&gt;""),H72:H86)))</f>
        <v/>
      </c>
      <c r="C91" s="155" t="str">
        <f>IF(B91="","",$O$2)</f>
        <v/>
      </c>
      <c r="D91" s="155" t="str">
        <f>IF(C91="","",1)</f>
        <v/>
      </c>
      <c r="E91" s="157" t="str">
        <f t="shared" ref="E91:E94" si="44">IF(OR(A91="",B91="",C91=""),"",IF(A91="定例積立",CONCATENATE(B91,"/",C91,"/","25"),IF(AND(A91="手当積立",C91=6),CONCATENATE(B91,"/",SUM(C91,1),"/","5"),IF(AND(A91="手当積立",C91=12),CONCATENATE(B91,"/",C91,"/","15"),CONCATENATE(B91,"/",C91,"/",D91)))))</f>
        <v/>
      </c>
      <c r="F91" s="158" t="str">
        <f>IF(Q86=0,"",Q86)</f>
        <v/>
      </c>
      <c r="G91" s="158" t="str">
        <f>IF(A91="","",F91)</f>
        <v/>
      </c>
      <c r="H91" s="131" t="str">
        <f>IF(B91="","",EOMONTH(LOOKUP(2,1/(H72:H86&lt;&gt;""),H72:H86),12))</f>
        <v/>
      </c>
      <c r="I91" s="132" t="str">
        <f>IF(E91="","",SUM((H91-E91),1))</f>
        <v/>
      </c>
      <c r="J91" s="133" t="str">
        <f>IF(A91="","",H91-DATEVALUE(CONCATENATE(SUM(YEAR(H91),-1),"/3/31")))</f>
        <v/>
      </c>
      <c r="K91" s="134">
        <f>IF(ISERROR(ROUNDDOWN(G91/100,0)*100),0,ROUNDDOWN(G91/100,0)*100)</f>
        <v>0</v>
      </c>
      <c r="L91" s="135">
        <f t="shared" ref="L91:L105" si="45">IFERROR(ROUNDDOWN(K91*I91/J91,0),0)</f>
        <v>0</v>
      </c>
      <c r="M91" s="117"/>
      <c r="N91" s="116"/>
      <c r="O91" s="117"/>
      <c r="P91" s="111"/>
      <c r="Q91" s="161" t="s">
        <v>57</v>
      </c>
      <c r="R91" s="162"/>
    </row>
    <row r="92" spans="1:18" ht="18" customHeight="1">
      <c r="A92" s="155" t="str">
        <f>IF(B92="","",$M$3)</f>
        <v/>
      </c>
      <c r="B92" s="155" t="str">
        <f>B91</f>
        <v/>
      </c>
      <c r="C92" s="155" t="str">
        <f>IF(C91="","",$O$2)</f>
        <v/>
      </c>
      <c r="D92" s="153"/>
      <c r="E92" s="157" t="str">
        <f t="shared" si="44"/>
        <v/>
      </c>
      <c r="F92" s="158" t="str">
        <f>IF(ISERROR(VLOOKUP(A92,$B$10:$E$11,4,FALSE)),"",VLOOKUP(A92,$B$10:$E$11,4,FALSE))</f>
        <v/>
      </c>
      <c r="G92" s="158" t="str">
        <f t="shared" ref="G92:G105" si="46">IF(A92="","",F92)</f>
        <v/>
      </c>
      <c r="H92" s="131" t="str">
        <f>IF(B91="","",EOMONTH(LOOKUP(2,1/(H72:H86&lt;&gt;""),H72:H86),12))</f>
        <v/>
      </c>
      <c r="I92" s="132" t="str">
        <f t="shared" ref="I92:I105" si="47">IF(E92="","",SUM((H92-E92),1))</f>
        <v/>
      </c>
      <c r="J92" s="133" t="str">
        <f t="shared" ref="J92:J105" si="48">IF(A92="","",H92-DATEVALUE(CONCATENATE(SUM(YEAR(H92),-1),"/3/31")))</f>
        <v/>
      </c>
      <c r="K92" s="134">
        <f t="shared" ref="K92:K105" si="49">IF(ISERROR(ROUNDDOWN(G92/100,0)*100),0,ROUNDDOWN(G92/100,0)*100)</f>
        <v>0</v>
      </c>
      <c r="L92" s="135">
        <f t="shared" si="45"/>
        <v>0</v>
      </c>
      <c r="M92" s="117"/>
      <c r="N92" s="116"/>
      <c r="O92" s="117"/>
      <c r="P92" s="111"/>
      <c r="Q92" s="180">
        <v>0.15315000000000001</v>
      </c>
      <c r="R92" s="181"/>
    </row>
    <row r="93" spans="1:18" ht="18" customHeight="1">
      <c r="A93" s="155" t="str">
        <f t="shared" ref="A93:A94" si="50">IF(B93="","",$M$3)</f>
        <v/>
      </c>
      <c r="B93" s="155" t="str">
        <f>B91</f>
        <v/>
      </c>
      <c r="C93" s="155" t="str">
        <f>IF(C91="","",$O$3)</f>
        <v/>
      </c>
      <c r="D93" s="153"/>
      <c r="E93" s="157" t="str">
        <f t="shared" si="44"/>
        <v/>
      </c>
      <c r="F93" s="158" t="str">
        <f t="shared" ref="F93:F105" si="51">IF(ISERROR(VLOOKUP(A93,$B$10:$E$11,4,FALSE)),"",VLOOKUP(A93,$B$10:$E$11,4,FALSE))</f>
        <v/>
      </c>
      <c r="G93" s="158" t="str">
        <f t="shared" si="46"/>
        <v/>
      </c>
      <c r="H93" s="131" t="str">
        <f>IF(B91="","",EOMONTH(LOOKUP(2,1/(H72:H86&lt;&gt;""),H72:H86),12))</f>
        <v/>
      </c>
      <c r="I93" s="132" t="str">
        <f t="shared" si="47"/>
        <v/>
      </c>
      <c r="J93" s="133" t="str">
        <f t="shared" si="48"/>
        <v/>
      </c>
      <c r="K93" s="134">
        <f t="shared" si="49"/>
        <v>0</v>
      </c>
      <c r="L93" s="135">
        <f t="shared" si="45"/>
        <v>0</v>
      </c>
      <c r="M93" s="117"/>
      <c r="N93" s="116"/>
      <c r="O93" s="117"/>
      <c r="P93" s="111"/>
    </row>
    <row r="94" spans="1:18" ht="18" customHeight="1">
      <c r="A94" s="155" t="str">
        <f t="shared" si="50"/>
        <v/>
      </c>
      <c r="B94" s="155" t="str">
        <f>B91</f>
        <v/>
      </c>
      <c r="C94" s="155" t="str">
        <f>IF(C91="","",$O$4)</f>
        <v/>
      </c>
      <c r="D94" s="153"/>
      <c r="E94" s="157" t="str">
        <f t="shared" si="44"/>
        <v/>
      </c>
      <c r="F94" s="158" t="str">
        <f t="shared" si="51"/>
        <v/>
      </c>
      <c r="G94" s="158" t="str">
        <f t="shared" si="46"/>
        <v/>
      </c>
      <c r="H94" s="131" t="str">
        <f>IF(B91="","",EOMONTH(LOOKUP(2,1/(H72:H86&lt;&gt;""),H72:H86),12))</f>
        <v/>
      </c>
      <c r="I94" s="132" t="str">
        <f t="shared" si="47"/>
        <v/>
      </c>
      <c r="J94" s="133" t="str">
        <f t="shared" si="48"/>
        <v/>
      </c>
      <c r="K94" s="134">
        <f t="shared" si="49"/>
        <v>0</v>
      </c>
      <c r="L94" s="135">
        <f t="shared" si="45"/>
        <v>0</v>
      </c>
      <c r="M94" s="117"/>
      <c r="N94" s="116"/>
      <c r="O94" s="117"/>
      <c r="P94" s="111"/>
      <c r="Q94" s="163" t="s">
        <v>13</v>
      </c>
      <c r="R94" s="182">
        <v>0.05</v>
      </c>
    </row>
    <row r="95" spans="1:18" ht="18" customHeight="1">
      <c r="A95" s="155" t="str">
        <f>IF(B95="","",$M$4)</f>
        <v/>
      </c>
      <c r="B95" s="155" t="str">
        <f>B91</f>
        <v/>
      </c>
      <c r="C95" s="155" t="str">
        <f>IF(C91="","",$O$4)</f>
        <v/>
      </c>
      <c r="D95" s="153"/>
      <c r="E95" s="157" t="str">
        <f>IF(OR(A95="",B95="",C95=""),"",IF(A95="定例積立",CONCATENATE(B95,"/",C95,"/","25"),IF(AND(A95="手当積立",C95=6),CONCATENATE(B95,"/",SUM(C95,1),"/","5"),IF(AND(A95="手当積立",C95=12),CONCATENATE(B95,"/",C95,"/","15"),CONCATENATE(B95,"/",C95,"/",D95)))))</f>
        <v/>
      </c>
      <c r="F95" s="158" t="str">
        <f t="shared" si="51"/>
        <v/>
      </c>
      <c r="G95" s="158" t="str">
        <f t="shared" si="46"/>
        <v/>
      </c>
      <c r="H95" s="131" t="str">
        <f>IF(B91="","",EOMONTH(LOOKUP(2,1/(H72:H86&lt;&gt;""),H72:H86),12))</f>
        <v/>
      </c>
      <c r="I95" s="132" t="str">
        <f t="shared" si="47"/>
        <v/>
      </c>
      <c r="J95" s="133" t="str">
        <f t="shared" si="48"/>
        <v/>
      </c>
      <c r="K95" s="134">
        <f t="shared" si="49"/>
        <v>0</v>
      </c>
      <c r="L95" s="135">
        <f t="shared" si="45"/>
        <v>0</v>
      </c>
      <c r="M95" s="117"/>
      <c r="N95" s="116"/>
      <c r="O95" s="117"/>
      <c r="P95" s="111"/>
    </row>
    <row r="96" spans="1:18" ht="18" customHeight="1">
      <c r="A96" s="155" t="str">
        <f t="shared" ref="A96:A100" si="52">IF(B96="","",$M$3)</f>
        <v/>
      </c>
      <c r="B96" s="155" t="str">
        <f>B91</f>
        <v/>
      </c>
      <c r="C96" s="155" t="str">
        <f>IF(C91="","",$O$5)</f>
        <v/>
      </c>
      <c r="D96" s="153"/>
      <c r="E96" s="157" t="str">
        <f t="shared" ref="E96:E105" si="53">IF(OR(A96="",B96="",C96=""),"",IF(A96="定例積立",CONCATENATE(B96,"/",C96,"/","25"),IF(AND(A96="手当積立",C96=6),CONCATENATE(B96,"/",SUM(C96,1),"/","5"),IF(AND(A96="手当積立",C96=12),CONCATENATE(B96,"/",C96,"/","15"),CONCATENATE(B96,"/",C96,"/",D96)))))</f>
        <v/>
      </c>
      <c r="F96" s="158" t="str">
        <f t="shared" si="51"/>
        <v/>
      </c>
      <c r="G96" s="158" t="str">
        <f t="shared" si="46"/>
        <v/>
      </c>
      <c r="H96" s="131" t="str">
        <f>IF(B91="","",EOMONTH(LOOKUP(2,1/(H72:H86&lt;&gt;""),H72:H86),12))</f>
        <v/>
      </c>
      <c r="I96" s="132" t="str">
        <f t="shared" si="47"/>
        <v/>
      </c>
      <c r="J96" s="133" t="str">
        <f t="shared" si="48"/>
        <v/>
      </c>
      <c r="K96" s="134">
        <f t="shared" si="49"/>
        <v>0</v>
      </c>
      <c r="L96" s="135">
        <f t="shared" si="45"/>
        <v>0</v>
      </c>
      <c r="M96" s="117"/>
      <c r="N96" s="116"/>
      <c r="O96" s="117"/>
      <c r="P96" s="111"/>
      <c r="Q96" s="164" t="s">
        <v>81</v>
      </c>
      <c r="R96" s="165"/>
    </row>
    <row r="97" spans="1:18" ht="18" customHeight="1">
      <c r="A97" s="155" t="str">
        <f t="shared" si="52"/>
        <v/>
      </c>
      <c r="B97" s="155" t="str">
        <f>B91</f>
        <v/>
      </c>
      <c r="C97" s="155" t="str">
        <f>IF(C91="","",$O$6)</f>
        <v/>
      </c>
      <c r="D97" s="153"/>
      <c r="E97" s="157" t="str">
        <f t="shared" si="53"/>
        <v/>
      </c>
      <c r="F97" s="158" t="str">
        <f t="shared" si="51"/>
        <v/>
      </c>
      <c r="G97" s="158" t="str">
        <f t="shared" si="46"/>
        <v/>
      </c>
      <c r="H97" s="131" t="str">
        <f>IF(B91="","",EOMONTH(LOOKUP(2,1/(H72:H86&lt;&gt;""),H72:H86),12))</f>
        <v/>
      </c>
      <c r="I97" s="132" t="str">
        <f t="shared" si="47"/>
        <v/>
      </c>
      <c r="J97" s="133" t="str">
        <f t="shared" si="48"/>
        <v/>
      </c>
      <c r="K97" s="134">
        <f t="shared" si="49"/>
        <v>0</v>
      </c>
      <c r="L97" s="135">
        <f t="shared" si="45"/>
        <v>0</v>
      </c>
      <c r="M97" s="117"/>
      <c r="N97" s="116"/>
      <c r="O97" s="117"/>
      <c r="P97" s="111"/>
      <c r="Q97" s="166" t="s">
        <v>11</v>
      </c>
      <c r="R97" s="167">
        <f>ROUNDDOWN(L106*R89,0)</f>
        <v>0</v>
      </c>
    </row>
    <row r="98" spans="1:18" ht="18" customHeight="1">
      <c r="A98" s="155" t="str">
        <f t="shared" si="52"/>
        <v/>
      </c>
      <c r="B98" s="155" t="str">
        <f>B91</f>
        <v/>
      </c>
      <c r="C98" s="155" t="str">
        <f>IF(C91="","",$O$7)</f>
        <v/>
      </c>
      <c r="D98" s="153"/>
      <c r="E98" s="157" t="str">
        <f t="shared" si="53"/>
        <v/>
      </c>
      <c r="F98" s="158" t="str">
        <f t="shared" si="51"/>
        <v/>
      </c>
      <c r="G98" s="158" t="str">
        <f t="shared" si="46"/>
        <v/>
      </c>
      <c r="H98" s="131" t="str">
        <f>IF(B91="","",EOMONTH(LOOKUP(2,1/(H72:H86&lt;&gt;""),H72:H86),12))</f>
        <v/>
      </c>
      <c r="I98" s="132" t="str">
        <f t="shared" si="47"/>
        <v/>
      </c>
      <c r="J98" s="133" t="str">
        <f t="shared" si="48"/>
        <v/>
      </c>
      <c r="K98" s="134">
        <f t="shared" si="49"/>
        <v>0</v>
      </c>
      <c r="L98" s="135">
        <f t="shared" si="45"/>
        <v>0</v>
      </c>
      <c r="M98" s="117"/>
      <c r="N98" s="116"/>
      <c r="O98" s="117"/>
      <c r="P98" s="111"/>
      <c r="Q98" s="166" t="s">
        <v>12</v>
      </c>
      <c r="R98" s="168">
        <f>ROUNDDOWN(R97*Q92,0)</f>
        <v>0</v>
      </c>
    </row>
    <row r="99" spans="1:18" ht="18" customHeight="1">
      <c r="A99" s="155" t="str">
        <f t="shared" si="52"/>
        <v/>
      </c>
      <c r="B99" s="155" t="str">
        <f>B91</f>
        <v/>
      </c>
      <c r="C99" s="155" t="str">
        <f>IF(C91="","",$O$8)</f>
        <v/>
      </c>
      <c r="D99" s="153"/>
      <c r="E99" s="157" t="str">
        <f t="shared" si="53"/>
        <v/>
      </c>
      <c r="F99" s="158" t="str">
        <f t="shared" si="51"/>
        <v/>
      </c>
      <c r="G99" s="158" t="str">
        <f t="shared" si="46"/>
        <v/>
      </c>
      <c r="H99" s="131" t="str">
        <f>IF(B91="","",EOMONTH(LOOKUP(2,1/(H72:H86&lt;&gt;""),H72:H86),12))</f>
        <v/>
      </c>
      <c r="I99" s="132" t="str">
        <f t="shared" si="47"/>
        <v/>
      </c>
      <c r="J99" s="133" t="str">
        <f t="shared" si="48"/>
        <v/>
      </c>
      <c r="K99" s="134">
        <f t="shared" si="49"/>
        <v>0</v>
      </c>
      <c r="L99" s="135">
        <f t="shared" si="45"/>
        <v>0</v>
      </c>
      <c r="M99" s="117"/>
      <c r="N99" s="116"/>
      <c r="O99" s="117"/>
      <c r="P99" s="111"/>
      <c r="Q99" s="169" t="s">
        <v>13</v>
      </c>
      <c r="R99" s="167">
        <f>ROUNDDOWN(R97*R94,0)</f>
        <v>0</v>
      </c>
    </row>
    <row r="100" spans="1:18" ht="18" customHeight="1">
      <c r="A100" s="155" t="str">
        <f t="shared" si="52"/>
        <v/>
      </c>
      <c r="B100" s="155" t="str">
        <f>B91</f>
        <v/>
      </c>
      <c r="C100" s="155" t="str">
        <f>IF(C91="","",$O$9)</f>
        <v/>
      </c>
      <c r="D100" s="153"/>
      <c r="E100" s="157" t="str">
        <f t="shared" si="53"/>
        <v/>
      </c>
      <c r="F100" s="158" t="str">
        <f t="shared" si="51"/>
        <v/>
      </c>
      <c r="G100" s="158" t="str">
        <f t="shared" si="46"/>
        <v/>
      </c>
      <c r="H100" s="131" t="str">
        <f>IF(B91="","",EOMONTH(LOOKUP(2,1/(H72:H86&lt;&gt;""),H72:H86),12))</f>
        <v/>
      </c>
      <c r="I100" s="132" t="str">
        <f t="shared" si="47"/>
        <v/>
      </c>
      <c r="J100" s="133" t="str">
        <f t="shared" si="48"/>
        <v/>
      </c>
      <c r="K100" s="134">
        <f t="shared" si="49"/>
        <v>0</v>
      </c>
      <c r="L100" s="135">
        <f t="shared" si="45"/>
        <v>0</v>
      </c>
      <c r="M100" s="117"/>
      <c r="N100" s="116"/>
      <c r="O100" s="117"/>
      <c r="P100" s="111"/>
      <c r="Q100" s="170" t="s">
        <v>82</v>
      </c>
      <c r="R100" s="171">
        <f>SUM(R98:R99)</f>
        <v>0</v>
      </c>
    </row>
    <row r="101" spans="1:18" ht="18" customHeight="1">
      <c r="A101" s="155" t="str">
        <f>IF(B101="","",$M$4)</f>
        <v/>
      </c>
      <c r="B101" s="155" t="str">
        <f>B91</f>
        <v/>
      </c>
      <c r="C101" s="155" t="str">
        <f>IF(C91="","",$O$10)</f>
        <v/>
      </c>
      <c r="D101" s="153"/>
      <c r="E101" s="157" t="str">
        <f t="shared" si="53"/>
        <v/>
      </c>
      <c r="F101" s="158" t="str">
        <f t="shared" si="51"/>
        <v/>
      </c>
      <c r="G101" s="158" t="str">
        <f t="shared" si="46"/>
        <v/>
      </c>
      <c r="H101" s="131" t="str">
        <f>IF(B91="","",EOMONTH(LOOKUP(2,1/(H72:H86&lt;&gt;""),H72:H86),12))</f>
        <v/>
      </c>
      <c r="I101" s="132" t="str">
        <f t="shared" si="47"/>
        <v/>
      </c>
      <c r="J101" s="133" t="str">
        <f t="shared" si="48"/>
        <v/>
      </c>
      <c r="K101" s="134">
        <f t="shared" si="49"/>
        <v>0</v>
      </c>
      <c r="L101" s="135">
        <f t="shared" si="45"/>
        <v>0</v>
      </c>
      <c r="M101" s="117"/>
      <c r="N101" s="116"/>
      <c r="O101" s="117"/>
      <c r="P101" s="111"/>
      <c r="Q101" s="172" t="s">
        <v>58</v>
      </c>
      <c r="R101" s="173">
        <f>R97-R100</f>
        <v>0</v>
      </c>
    </row>
    <row r="102" spans="1:18" ht="18" customHeight="1">
      <c r="A102" s="155" t="str">
        <f t="shared" ref="A102:A105" si="54">IF(B102="","",$M$3)</f>
        <v/>
      </c>
      <c r="B102" s="155" t="str">
        <f>B91</f>
        <v/>
      </c>
      <c r="C102" s="155" t="str">
        <f>IF(C91="","",$O$10)</f>
        <v/>
      </c>
      <c r="D102" s="153"/>
      <c r="E102" s="157" t="str">
        <f t="shared" si="53"/>
        <v/>
      </c>
      <c r="F102" s="158" t="str">
        <f t="shared" si="51"/>
        <v/>
      </c>
      <c r="G102" s="158" t="str">
        <f t="shared" si="46"/>
        <v/>
      </c>
      <c r="H102" s="131" t="str">
        <f>IF(B91="","",EOMONTH(LOOKUP(2,1/(H72:H86&lt;&gt;""),H72:H86),12))</f>
        <v/>
      </c>
      <c r="I102" s="132" t="str">
        <f t="shared" si="47"/>
        <v/>
      </c>
      <c r="J102" s="133" t="str">
        <f t="shared" si="48"/>
        <v/>
      </c>
      <c r="K102" s="134">
        <f t="shared" si="49"/>
        <v>0</v>
      </c>
      <c r="L102" s="135">
        <f t="shared" si="45"/>
        <v>0</v>
      </c>
      <c r="M102" s="117"/>
      <c r="N102" s="116"/>
      <c r="O102" s="117"/>
      <c r="P102" s="111"/>
    </row>
    <row r="103" spans="1:18" ht="18" customHeight="1" thickBot="1">
      <c r="A103" s="155" t="str">
        <f t="shared" si="54"/>
        <v/>
      </c>
      <c r="B103" s="155" t="str">
        <f>IF(B91="","",SUM(B91,1))</f>
        <v/>
      </c>
      <c r="C103" s="155" t="str">
        <f>IF(C91="","",$O$11)</f>
        <v/>
      </c>
      <c r="D103" s="153"/>
      <c r="E103" s="157" t="str">
        <f t="shared" si="53"/>
        <v/>
      </c>
      <c r="F103" s="158" t="str">
        <f t="shared" si="51"/>
        <v/>
      </c>
      <c r="G103" s="158" t="str">
        <f t="shared" si="46"/>
        <v/>
      </c>
      <c r="H103" s="131" t="str">
        <f>IF(B91="","",EOMONTH(LOOKUP(2,1/(H72:H86&lt;&gt;""),H72:H86),12))</f>
        <v/>
      </c>
      <c r="I103" s="132" t="str">
        <f t="shared" si="47"/>
        <v/>
      </c>
      <c r="J103" s="133" t="str">
        <f t="shared" si="48"/>
        <v/>
      </c>
      <c r="K103" s="134">
        <f t="shared" si="49"/>
        <v>0</v>
      </c>
      <c r="L103" s="135">
        <f t="shared" si="45"/>
        <v>0</v>
      </c>
      <c r="M103" s="117"/>
      <c r="N103" s="116"/>
      <c r="O103" s="117"/>
      <c r="P103" s="111"/>
    </row>
    <row r="104" spans="1:18" ht="18" customHeight="1" thickTop="1">
      <c r="A104" s="155" t="str">
        <f t="shared" si="54"/>
        <v/>
      </c>
      <c r="B104" s="155" t="str">
        <f>IF(B91="","",B103)</f>
        <v/>
      </c>
      <c r="C104" s="155" t="str">
        <f>IF(C91="","",$O$12)</f>
        <v/>
      </c>
      <c r="D104" s="153"/>
      <c r="E104" s="157" t="str">
        <f t="shared" si="53"/>
        <v/>
      </c>
      <c r="F104" s="158" t="str">
        <f t="shared" si="51"/>
        <v/>
      </c>
      <c r="G104" s="158" t="str">
        <f t="shared" si="46"/>
        <v/>
      </c>
      <c r="H104" s="131" t="str">
        <f>IF(B91="","",EOMONTH(LOOKUP(2,1/(H72:H86&lt;&gt;""),H72:H86),12))</f>
        <v/>
      </c>
      <c r="I104" s="132" t="str">
        <f t="shared" si="47"/>
        <v/>
      </c>
      <c r="J104" s="133" t="str">
        <f t="shared" si="48"/>
        <v/>
      </c>
      <c r="K104" s="134">
        <f t="shared" si="49"/>
        <v>0</v>
      </c>
      <c r="L104" s="135">
        <f t="shared" si="45"/>
        <v>0</v>
      </c>
      <c r="M104" s="117"/>
      <c r="N104" s="116"/>
      <c r="O104" s="117"/>
      <c r="P104" s="111"/>
      <c r="Q104" s="174" t="s">
        <v>80</v>
      </c>
      <c r="R104" s="175"/>
    </row>
    <row r="105" spans="1:18" ht="18" customHeight="1" thickBot="1">
      <c r="A105" s="155" t="str">
        <f t="shared" si="54"/>
        <v/>
      </c>
      <c r="B105" s="155" t="str">
        <f>IF(B91="","",B103)</f>
        <v/>
      </c>
      <c r="C105" s="155" t="str">
        <f>IF(C91="","",$O$13)</f>
        <v/>
      </c>
      <c r="D105" s="153"/>
      <c r="E105" s="157" t="str">
        <f t="shared" si="53"/>
        <v/>
      </c>
      <c r="F105" s="158" t="str">
        <f t="shared" si="51"/>
        <v/>
      </c>
      <c r="G105" s="158" t="str">
        <f t="shared" si="46"/>
        <v/>
      </c>
      <c r="H105" s="131" t="str">
        <f>IF(B91="","",EOMONTH(LOOKUP(2,1/(H72:H86&lt;&gt;""),H72:H86),12))</f>
        <v/>
      </c>
      <c r="I105" s="132" t="str">
        <f t="shared" si="47"/>
        <v/>
      </c>
      <c r="J105" s="133" t="str">
        <f t="shared" si="48"/>
        <v/>
      </c>
      <c r="K105" s="134">
        <f t="shared" si="49"/>
        <v>0</v>
      </c>
      <c r="L105" s="135">
        <f t="shared" si="45"/>
        <v>0</v>
      </c>
      <c r="M105" s="117"/>
      <c r="N105" s="116"/>
      <c r="O105" s="117"/>
      <c r="P105" s="111"/>
      <c r="Q105" s="176" t="str">
        <f>IF(F91="","",SUM(G106,R101))</f>
        <v/>
      </c>
      <c r="R105" s="177"/>
    </row>
    <row r="106" spans="1:18" ht="18" customHeight="1" thickTop="1">
      <c r="E106" s="138"/>
      <c r="F106" s="159" t="s">
        <v>79</v>
      </c>
      <c r="G106" s="160">
        <f>SUM(G91:G105)</f>
        <v>0</v>
      </c>
      <c r="H106" s="138"/>
      <c r="I106" s="141"/>
      <c r="J106" s="141"/>
      <c r="K106" s="142"/>
      <c r="L106" s="135">
        <f>SUM(L91:L105)</f>
        <v>0</v>
      </c>
      <c r="M106" s="117"/>
      <c r="N106" s="116"/>
      <c r="O106" s="117"/>
      <c r="P106" s="111"/>
    </row>
    <row r="107" spans="1:18" ht="18" customHeight="1">
      <c r="A107" s="111" t="s">
        <v>85</v>
      </c>
      <c r="M107" s="117"/>
      <c r="N107" s="116"/>
      <c r="O107" s="117"/>
    </row>
    <row r="108" spans="1:18" ht="18" customHeight="1">
      <c r="A108" s="150" t="s">
        <v>66</v>
      </c>
      <c r="B108" s="150" t="s">
        <v>56</v>
      </c>
      <c r="C108" s="150"/>
      <c r="D108" s="150"/>
      <c r="E108" s="150" t="s">
        <v>65</v>
      </c>
      <c r="F108" s="151" t="s">
        <v>77</v>
      </c>
      <c r="G108" s="152" t="s">
        <v>78</v>
      </c>
      <c r="H108" s="118" t="s">
        <v>7</v>
      </c>
      <c r="I108" s="118" t="s">
        <v>8</v>
      </c>
      <c r="J108" s="118" t="s">
        <v>9</v>
      </c>
      <c r="K108" s="123" t="s">
        <v>10</v>
      </c>
      <c r="L108" s="124" t="s">
        <v>55</v>
      </c>
      <c r="M108" s="119"/>
      <c r="N108" s="116"/>
      <c r="O108" s="117"/>
      <c r="Q108" s="153" t="s">
        <v>50</v>
      </c>
      <c r="R108" s="179">
        <v>1.4999999999999999E-2</v>
      </c>
    </row>
    <row r="109" spans="1:18" ht="18" customHeight="1">
      <c r="A109" s="150"/>
      <c r="B109" s="153" t="s">
        <v>52</v>
      </c>
      <c r="C109" s="153" t="s">
        <v>53</v>
      </c>
      <c r="D109" s="153" t="s">
        <v>54</v>
      </c>
      <c r="E109" s="150"/>
      <c r="F109" s="154"/>
      <c r="G109" s="152"/>
      <c r="H109" s="118"/>
      <c r="I109" s="118"/>
      <c r="J109" s="118"/>
      <c r="K109" s="123"/>
      <c r="L109" s="124"/>
      <c r="M109" s="115"/>
      <c r="N109" s="116"/>
      <c r="O109" s="117"/>
      <c r="P109" s="111"/>
    </row>
    <row r="110" spans="1:18" ht="18" customHeight="1">
      <c r="A110" s="155" t="str">
        <f>IF(B110="","",$M$2)</f>
        <v/>
      </c>
      <c r="B110" s="155" t="str">
        <f>IF(B91="","",YEAR(LOOKUP(2,1/(H91:H105&lt;&gt;""),H91:H105)))</f>
        <v/>
      </c>
      <c r="C110" s="155" t="str">
        <f>IF(B110="","",$O$2)</f>
        <v/>
      </c>
      <c r="D110" s="155" t="str">
        <f>IF(C110="","",1)</f>
        <v/>
      </c>
      <c r="E110" s="157" t="str">
        <f t="shared" ref="E110:E113" si="55">IF(OR(A110="",B110="",C110=""),"",IF(A110="定例積立",CONCATENATE(B110,"/",C110,"/","25"),IF(AND(A110="手当積立",C110=6),CONCATENATE(B110,"/",SUM(C110,1),"/","5"),IF(AND(A110="手当積立",C110=12),CONCATENATE(B110,"/",C110,"/","15"),CONCATENATE(B110,"/",C110,"/",D110)))))</f>
        <v/>
      </c>
      <c r="F110" s="158" t="str">
        <f>IF(Q105=0,"",Q105)</f>
        <v/>
      </c>
      <c r="G110" s="158" t="str">
        <f>IF(A110="","",F110)</f>
        <v/>
      </c>
      <c r="H110" s="131" t="str">
        <f>IF(B110="","",EOMONTH(LOOKUP(2,1/(H91:H105&lt;&gt;""),H91:H105),12))</f>
        <v/>
      </c>
      <c r="I110" s="132" t="str">
        <f>IF(E110="","",SUM((H110-E110),1))</f>
        <v/>
      </c>
      <c r="J110" s="133" t="str">
        <f>IF(A110="","",H110-DATEVALUE(CONCATENATE(SUM(YEAR(H110),-1),"/3/31")))</f>
        <v/>
      </c>
      <c r="K110" s="134">
        <f>IF(ISERROR(ROUNDDOWN(G110/100,0)*100),0,ROUNDDOWN(G110/100,0)*100)</f>
        <v>0</v>
      </c>
      <c r="L110" s="135">
        <f t="shared" ref="L110:L124" si="56">IFERROR(ROUNDDOWN(K110*I110/J110,0),0)</f>
        <v>0</v>
      </c>
      <c r="M110" s="117"/>
      <c r="N110" s="116"/>
      <c r="O110" s="117"/>
      <c r="P110" s="111"/>
      <c r="Q110" s="161" t="s">
        <v>57</v>
      </c>
      <c r="R110" s="162"/>
    </row>
    <row r="111" spans="1:18" ht="18" customHeight="1">
      <c r="A111" s="155" t="str">
        <f>IF(B111="","",$M$3)</f>
        <v/>
      </c>
      <c r="B111" s="155" t="str">
        <f>B110</f>
        <v/>
      </c>
      <c r="C111" s="155" t="str">
        <f>IF(C110="","",$O$2)</f>
        <v/>
      </c>
      <c r="D111" s="153"/>
      <c r="E111" s="157" t="str">
        <f t="shared" si="55"/>
        <v/>
      </c>
      <c r="F111" s="158" t="str">
        <f>IF(ISERROR(VLOOKUP(A111,$B$10:$E$11,4,FALSE)),"",VLOOKUP(A111,$B$10:$E$11,4,FALSE))</f>
        <v/>
      </c>
      <c r="G111" s="158" t="str">
        <f t="shared" ref="G111:G124" si="57">IF(A111="","",F111)</f>
        <v/>
      </c>
      <c r="H111" s="131" t="str">
        <f>IF(B110="","",EOMONTH(LOOKUP(2,1/(H91:H105&lt;&gt;""),H91:H105),12))</f>
        <v/>
      </c>
      <c r="I111" s="132" t="str">
        <f t="shared" ref="I111:I124" si="58">IF(E111="","",SUM((H111-E111),1))</f>
        <v/>
      </c>
      <c r="J111" s="133" t="str">
        <f t="shared" ref="J111:J124" si="59">IF(A111="","",H111-DATEVALUE(CONCATENATE(SUM(YEAR(H111),-1),"/3/31")))</f>
        <v/>
      </c>
      <c r="K111" s="134">
        <f t="shared" ref="K111:K124" si="60">IF(ISERROR(ROUNDDOWN(G111/100,0)*100),0,ROUNDDOWN(G111/100,0)*100)</f>
        <v>0</v>
      </c>
      <c r="L111" s="135">
        <f t="shared" si="56"/>
        <v>0</v>
      </c>
      <c r="M111" s="117"/>
      <c r="N111" s="116"/>
      <c r="O111" s="117"/>
      <c r="P111" s="111"/>
      <c r="Q111" s="180">
        <v>0.15315000000000001</v>
      </c>
      <c r="R111" s="181"/>
    </row>
    <row r="112" spans="1:18" ht="18" customHeight="1">
      <c r="A112" s="155" t="str">
        <f t="shared" ref="A112:A113" si="61">IF(B112="","",$M$3)</f>
        <v/>
      </c>
      <c r="B112" s="155" t="str">
        <f>B110</f>
        <v/>
      </c>
      <c r="C112" s="155" t="str">
        <f>IF(C110="","",$O$3)</f>
        <v/>
      </c>
      <c r="D112" s="153"/>
      <c r="E112" s="157" t="str">
        <f t="shared" si="55"/>
        <v/>
      </c>
      <c r="F112" s="158" t="str">
        <f t="shared" ref="F112:F124" si="62">IF(ISERROR(VLOOKUP(A112,$B$10:$E$11,4,FALSE)),"",VLOOKUP(A112,$B$10:$E$11,4,FALSE))</f>
        <v/>
      </c>
      <c r="G112" s="158" t="str">
        <f t="shared" si="57"/>
        <v/>
      </c>
      <c r="H112" s="131" t="str">
        <f>IF(B110="","",EOMONTH(LOOKUP(2,1/(H91:H105&lt;&gt;""),H91:H105),12))</f>
        <v/>
      </c>
      <c r="I112" s="132" t="str">
        <f t="shared" si="58"/>
        <v/>
      </c>
      <c r="J112" s="133" t="str">
        <f t="shared" si="59"/>
        <v/>
      </c>
      <c r="K112" s="134">
        <f t="shared" si="60"/>
        <v>0</v>
      </c>
      <c r="L112" s="135">
        <f t="shared" si="56"/>
        <v>0</v>
      </c>
      <c r="M112" s="117"/>
      <c r="N112" s="116"/>
      <c r="O112" s="117"/>
      <c r="P112" s="111"/>
    </row>
    <row r="113" spans="1:18" ht="18" customHeight="1">
      <c r="A113" s="155" t="str">
        <f t="shared" si="61"/>
        <v/>
      </c>
      <c r="B113" s="155" t="str">
        <f>B110</f>
        <v/>
      </c>
      <c r="C113" s="155" t="str">
        <f>IF(C110="","",$O$4)</f>
        <v/>
      </c>
      <c r="D113" s="153"/>
      <c r="E113" s="157" t="str">
        <f t="shared" si="55"/>
        <v/>
      </c>
      <c r="F113" s="158" t="str">
        <f t="shared" si="62"/>
        <v/>
      </c>
      <c r="G113" s="158" t="str">
        <f t="shared" si="57"/>
        <v/>
      </c>
      <c r="H113" s="131" t="str">
        <f>IF(B110="","",EOMONTH(LOOKUP(2,1/(H91:H105&lt;&gt;""),H91:H105),12))</f>
        <v/>
      </c>
      <c r="I113" s="132" t="str">
        <f t="shared" si="58"/>
        <v/>
      </c>
      <c r="J113" s="133" t="str">
        <f t="shared" si="59"/>
        <v/>
      </c>
      <c r="K113" s="134">
        <f t="shared" si="60"/>
        <v>0</v>
      </c>
      <c r="L113" s="135">
        <f t="shared" si="56"/>
        <v>0</v>
      </c>
      <c r="M113" s="117"/>
      <c r="N113" s="116"/>
      <c r="O113" s="117"/>
      <c r="P113" s="111"/>
      <c r="Q113" s="163" t="s">
        <v>13</v>
      </c>
      <c r="R113" s="182">
        <v>0.05</v>
      </c>
    </row>
    <row r="114" spans="1:18" ht="18" customHeight="1">
      <c r="A114" s="155" t="str">
        <f>IF(B114="","",$M$4)</f>
        <v/>
      </c>
      <c r="B114" s="155" t="str">
        <f>B110</f>
        <v/>
      </c>
      <c r="C114" s="155" t="str">
        <f>IF(C110="","",$O$4)</f>
        <v/>
      </c>
      <c r="D114" s="153"/>
      <c r="E114" s="157" t="str">
        <f>IF(OR(A114="",B114="",C114=""),"",IF(A114="定例積立",CONCATENATE(B114,"/",C114,"/","25"),IF(AND(A114="手当積立",C114=6),CONCATENATE(B114,"/",SUM(C114,1),"/","5"),IF(AND(A114="手当積立",C114=12),CONCATENATE(B114,"/",C114,"/","15"),CONCATENATE(B114,"/",C114,"/",D114)))))</f>
        <v/>
      </c>
      <c r="F114" s="158" t="str">
        <f t="shared" si="62"/>
        <v/>
      </c>
      <c r="G114" s="158" t="str">
        <f t="shared" si="57"/>
        <v/>
      </c>
      <c r="H114" s="131" t="str">
        <f>IF(B110="","",EOMONTH(LOOKUP(2,1/(H91:H105&lt;&gt;""),H91:H105),12))</f>
        <v/>
      </c>
      <c r="I114" s="132" t="str">
        <f t="shared" si="58"/>
        <v/>
      </c>
      <c r="J114" s="133" t="str">
        <f t="shared" si="59"/>
        <v/>
      </c>
      <c r="K114" s="134">
        <f t="shared" si="60"/>
        <v>0</v>
      </c>
      <c r="L114" s="135">
        <f t="shared" si="56"/>
        <v>0</v>
      </c>
      <c r="M114" s="117"/>
      <c r="N114" s="116"/>
      <c r="O114" s="117"/>
      <c r="P114" s="111"/>
    </row>
    <row r="115" spans="1:18" ht="18" customHeight="1">
      <c r="A115" s="155" t="str">
        <f t="shared" ref="A115:A119" si="63">IF(B115="","",$M$3)</f>
        <v/>
      </c>
      <c r="B115" s="155" t="str">
        <f>B110</f>
        <v/>
      </c>
      <c r="C115" s="155" t="str">
        <f>IF(C110="","",$O$5)</f>
        <v/>
      </c>
      <c r="D115" s="153"/>
      <c r="E115" s="157" t="str">
        <f t="shared" ref="E115:E124" si="64">IF(OR(A115="",B115="",C115=""),"",IF(A115="定例積立",CONCATENATE(B115,"/",C115,"/","25"),IF(AND(A115="手当積立",C115=6),CONCATENATE(B115,"/",SUM(C115,1),"/","5"),IF(AND(A115="手当積立",C115=12),CONCATENATE(B115,"/",C115,"/","15"),CONCATENATE(B115,"/",C115,"/",D115)))))</f>
        <v/>
      </c>
      <c r="F115" s="158" t="str">
        <f t="shared" si="62"/>
        <v/>
      </c>
      <c r="G115" s="158" t="str">
        <f t="shared" si="57"/>
        <v/>
      </c>
      <c r="H115" s="131" t="str">
        <f>IF(B110="","",EOMONTH(LOOKUP(2,1/(H91:H105&lt;&gt;""),H91:H105),12))</f>
        <v/>
      </c>
      <c r="I115" s="132" t="str">
        <f t="shared" si="58"/>
        <v/>
      </c>
      <c r="J115" s="133" t="str">
        <f t="shared" si="59"/>
        <v/>
      </c>
      <c r="K115" s="134">
        <f t="shared" si="60"/>
        <v>0</v>
      </c>
      <c r="L115" s="135">
        <f t="shared" si="56"/>
        <v>0</v>
      </c>
      <c r="M115" s="117"/>
      <c r="N115" s="116"/>
      <c r="O115" s="117"/>
      <c r="P115" s="111"/>
      <c r="Q115" s="164" t="s">
        <v>81</v>
      </c>
      <c r="R115" s="165"/>
    </row>
    <row r="116" spans="1:18" ht="18" customHeight="1">
      <c r="A116" s="155" t="str">
        <f t="shared" si="63"/>
        <v/>
      </c>
      <c r="B116" s="155" t="str">
        <f>B110</f>
        <v/>
      </c>
      <c r="C116" s="155" t="str">
        <f>IF(C110="","",$O$6)</f>
        <v/>
      </c>
      <c r="D116" s="153"/>
      <c r="E116" s="157" t="str">
        <f t="shared" si="64"/>
        <v/>
      </c>
      <c r="F116" s="158" t="str">
        <f t="shared" si="62"/>
        <v/>
      </c>
      <c r="G116" s="158" t="str">
        <f t="shared" si="57"/>
        <v/>
      </c>
      <c r="H116" s="131" t="str">
        <f>IF(B110="","",EOMONTH(LOOKUP(2,1/(H91:H105&lt;&gt;""),H91:H105),12))</f>
        <v/>
      </c>
      <c r="I116" s="132" t="str">
        <f t="shared" si="58"/>
        <v/>
      </c>
      <c r="J116" s="133" t="str">
        <f t="shared" si="59"/>
        <v/>
      </c>
      <c r="K116" s="134">
        <f t="shared" si="60"/>
        <v>0</v>
      </c>
      <c r="L116" s="135">
        <f t="shared" si="56"/>
        <v>0</v>
      </c>
      <c r="M116" s="117"/>
      <c r="N116" s="116"/>
      <c r="O116" s="117"/>
      <c r="P116" s="111"/>
      <c r="Q116" s="166" t="s">
        <v>11</v>
      </c>
      <c r="R116" s="167">
        <f>ROUNDDOWN(L125*R108,0)</f>
        <v>0</v>
      </c>
    </row>
    <row r="117" spans="1:18" ht="18" customHeight="1">
      <c r="A117" s="155" t="str">
        <f t="shared" si="63"/>
        <v/>
      </c>
      <c r="B117" s="155" t="str">
        <f>B110</f>
        <v/>
      </c>
      <c r="C117" s="155" t="str">
        <f>IF(C110="","",$O$7)</f>
        <v/>
      </c>
      <c r="D117" s="153"/>
      <c r="E117" s="157" t="str">
        <f t="shared" si="64"/>
        <v/>
      </c>
      <c r="F117" s="158" t="str">
        <f t="shared" si="62"/>
        <v/>
      </c>
      <c r="G117" s="158" t="str">
        <f t="shared" si="57"/>
        <v/>
      </c>
      <c r="H117" s="131" t="str">
        <f>IF(B110="","",EOMONTH(LOOKUP(2,1/(H91:H105&lt;&gt;""),H91:H105),12))</f>
        <v/>
      </c>
      <c r="I117" s="132" t="str">
        <f t="shared" si="58"/>
        <v/>
      </c>
      <c r="J117" s="133" t="str">
        <f t="shared" si="59"/>
        <v/>
      </c>
      <c r="K117" s="134">
        <f t="shared" si="60"/>
        <v>0</v>
      </c>
      <c r="L117" s="135">
        <f t="shared" si="56"/>
        <v>0</v>
      </c>
      <c r="M117" s="117"/>
      <c r="N117" s="116"/>
      <c r="O117" s="117"/>
      <c r="P117" s="111"/>
      <c r="Q117" s="166" t="s">
        <v>12</v>
      </c>
      <c r="R117" s="168">
        <f>ROUNDDOWN(R116*Q111,0)</f>
        <v>0</v>
      </c>
    </row>
    <row r="118" spans="1:18" ht="18" customHeight="1">
      <c r="A118" s="155" t="str">
        <f t="shared" si="63"/>
        <v/>
      </c>
      <c r="B118" s="155" t="str">
        <f>B110</f>
        <v/>
      </c>
      <c r="C118" s="155" t="str">
        <f>IF(C110="","",$O$8)</f>
        <v/>
      </c>
      <c r="D118" s="153"/>
      <c r="E118" s="157" t="str">
        <f t="shared" si="64"/>
        <v/>
      </c>
      <c r="F118" s="158" t="str">
        <f t="shared" si="62"/>
        <v/>
      </c>
      <c r="G118" s="158" t="str">
        <f t="shared" si="57"/>
        <v/>
      </c>
      <c r="H118" s="131" t="str">
        <f>IF(B110="","",EOMONTH(LOOKUP(2,1/(H91:H105&lt;&gt;""),H91:H105),12))</f>
        <v/>
      </c>
      <c r="I118" s="132" t="str">
        <f t="shared" si="58"/>
        <v/>
      </c>
      <c r="J118" s="133" t="str">
        <f t="shared" si="59"/>
        <v/>
      </c>
      <c r="K118" s="134">
        <f t="shared" si="60"/>
        <v>0</v>
      </c>
      <c r="L118" s="135">
        <f t="shared" si="56"/>
        <v>0</v>
      </c>
      <c r="M118" s="117"/>
      <c r="N118" s="116"/>
      <c r="O118" s="117"/>
      <c r="P118" s="111"/>
      <c r="Q118" s="169" t="s">
        <v>13</v>
      </c>
      <c r="R118" s="167">
        <f>ROUNDDOWN(R116*R113,0)</f>
        <v>0</v>
      </c>
    </row>
    <row r="119" spans="1:18" ht="18" customHeight="1">
      <c r="A119" s="155" t="str">
        <f t="shared" si="63"/>
        <v/>
      </c>
      <c r="B119" s="155" t="str">
        <f>B110</f>
        <v/>
      </c>
      <c r="C119" s="155" t="str">
        <f>IF(C110="","",$O$9)</f>
        <v/>
      </c>
      <c r="D119" s="153"/>
      <c r="E119" s="157" t="str">
        <f t="shared" si="64"/>
        <v/>
      </c>
      <c r="F119" s="158" t="str">
        <f t="shared" si="62"/>
        <v/>
      </c>
      <c r="G119" s="158" t="str">
        <f t="shared" si="57"/>
        <v/>
      </c>
      <c r="H119" s="131" t="str">
        <f>IF(B110="","",EOMONTH(LOOKUP(2,1/(H91:H105&lt;&gt;""),H91:H105),12))</f>
        <v/>
      </c>
      <c r="I119" s="132" t="str">
        <f t="shared" si="58"/>
        <v/>
      </c>
      <c r="J119" s="133" t="str">
        <f t="shared" si="59"/>
        <v/>
      </c>
      <c r="K119" s="134">
        <f t="shared" si="60"/>
        <v>0</v>
      </c>
      <c r="L119" s="135">
        <f t="shared" si="56"/>
        <v>0</v>
      </c>
      <c r="M119" s="117"/>
      <c r="N119" s="116"/>
      <c r="O119" s="117"/>
      <c r="P119" s="111"/>
      <c r="Q119" s="170" t="s">
        <v>82</v>
      </c>
      <c r="R119" s="171">
        <f>SUM(R117:R118)</f>
        <v>0</v>
      </c>
    </row>
    <row r="120" spans="1:18" ht="18" customHeight="1">
      <c r="A120" s="155" t="str">
        <f>IF(B120="","",$M$4)</f>
        <v/>
      </c>
      <c r="B120" s="155" t="str">
        <f>B110</f>
        <v/>
      </c>
      <c r="C120" s="155" t="str">
        <f>IF(C110="","",$O$10)</f>
        <v/>
      </c>
      <c r="D120" s="153"/>
      <c r="E120" s="157" t="str">
        <f t="shared" si="64"/>
        <v/>
      </c>
      <c r="F120" s="158" t="str">
        <f t="shared" si="62"/>
        <v/>
      </c>
      <c r="G120" s="158" t="str">
        <f t="shared" si="57"/>
        <v/>
      </c>
      <c r="H120" s="131" t="str">
        <f>IF(B110="","",EOMONTH(LOOKUP(2,1/(H91:H105&lt;&gt;""),H91:H105),12))</f>
        <v/>
      </c>
      <c r="I120" s="132" t="str">
        <f t="shared" si="58"/>
        <v/>
      </c>
      <c r="J120" s="133" t="str">
        <f t="shared" si="59"/>
        <v/>
      </c>
      <c r="K120" s="134">
        <f t="shared" si="60"/>
        <v>0</v>
      </c>
      <c r="L120" s="135">
        <f t="shared" si="56"/>
        <v>0</v>
      </c>
      <c r="M120" s="117"/>
      <c r="N120" s="116"/>
      <c r="O120" s="117"/>
      <c r="P120" s="111"/>
      <c r="Q120" s="172" t="s">
        <v>58</v>
      </c>
      <c r="R120" s="173">
        <f>R116-R119</f>
        <v>0</v>
      </c>
    </row>
    <row r="121" spans="1:18" ht="18" customHeight="1">
      <c r="A121" s="155" t="str">
        <f t="shared" ref="A121:A124" si="65">IF(B121="","",$M$3)</f>
        <v/>
      </c>
      <c r="B121" s="155" t="str">
        <f>B110</f>
        <v/>
      </c>
      <c r="C121" s="155" t="str">
        <f>IF(C110="","",$O$10)</f>
        <v/>
      </c>
      <c r="D121" s="153"/>
      <c r="E121" s="157" t="str">
        <f t="shared" si="64"/>
        <v/>
      </c>
      <c r="F121" s="158" t="str">
        <f t="shared" si="62"/>
        <v/>
      </c>
      <c r="G121" s="158" t="str">
        <f t="shared" si="57"/>
        <v/>
      </c>
      <c r="H121" s="131" t="str">
        <f>IF(B110="","",EOMONTH(LOOKUP(2,1/(H91:H105&lt;&gt;""),H91:H105),12))</f>
        <v/>
      </c>
      <c r="I121" s="132" t="str">
        <f t="shared" si="58"/>
        <v/>
      </c>
      <c r="J121" s="133" t="str">
        <f t="shared" si="59"/>
        <v/>
      </c>
      <c r="K121" s="134">
        <f t="shared" si="60"/>
        <v>0</v>
      </c>
      <c r="L121" s="135">
        <f t="shared" si="56"/>
        <v>0</v>
      </c>
      <c r="M121" s="117"/>
      <c r="N121" s="116"/>
      <c r="O121" s="117"/>
      <c r="P121" s="111"/>
    </row>
    <row r="122" spans="1:18" ht="18" customHeight="1" thickBot="1">
      <c r="A122" s="155" t="str">
        <f t="shared" si="65"/>
        <v/>
      </c>
      <c r="B122" s="155" t="str">
        <f>IF(B110="","",SUM(B110,1))</f>
        <v/>
      </c>
      <c r="C122" s="155" t="str">
        <f>IF(C110="","",$O$11)</f>
        <v/>
      </c>
      <c r="D122" s="153"/>
      <c r="E122" s="157" t="str">
        <f t="shared" si="64"/>
        <v/>
      </c>
      <c r="F122" s="158" t="str">
        <f t="shared" si="62"/>
        <v/>
      </c>
      <c r="G122" s="158" t="str">
        <f t="shared" si="57"/>
        <v/>
      </c>
      <c r="H122" s="131" t="str">
        <f>IF(B110="","",EOMONTH(LOOKUP(2,1/(H91:H105&lt;&gt;""),H91:H105),12))</f>
        <v/>
      </c>
      <c r="I122" s="132" t="str">
        <f t="shared" si="58"/>
        <v/>
      </c>
      <c r="J122" s="133" t="str">
        <f t="shared" si="59"/>
        <v/>
      </c>
      <c r="K122" s="134">
        <f t="shared" si="60"/>
        <v>0</v>
      </c>
      <c r="L122" s="135">
        <f t="shared" si="56"/>
        <v>0</v>
      </c>
      <c r="M122" s="117"/>
      <c r="N122" s="116"/>
      <c r="O122" s="117"/>
      <c r="P122" s="111"/>
    </row>
    <row r="123" spans="1:18" ht="18" customHeight="1" thickTop="1">
      <c r="A123" s="155" t="str">
        <f t="shared" si="65"/>
        <v/>
      </c>
      <c r="B123" s="155" t="str">
        <f>IF(B110="","",B122)</f>
        <v/>
      </c>
      <c r="C123" s="155" t="str">
        <f>IF(C110="","",$O$12)</f>
        <v/>
      </c>
      <c r="D123" s="153"/>
      <c r="E123" s="157" t="str">
        <f t="shared" si="64"/>
        <v/>
      </c>
      <c r="F123" s="158" t="str">
        <f t="shared" si="62"/>
        <v/>
      </c>
      <c r="G123" s="158" t="str">
        <f t="shared" si="57"/>
        <v/>
      </c>
      <c r="H123" s="131" t="str">
        <f>IF(B110="","",EOMONTH(LOOKUP(2,1/(H91:H105&lt;&gt;""),H91:H105),12))</f>
        <v/>
      </c>
      <c r="I123" s="132" t="str">
        <f t="shared" si="58"/>
        <v/>
      </c>
      <c r="J123" s="133" t="str">
        <f t="shared" si="59"/>
        <v/>
      </c>
      <c r="K123" s="134">
        <f t="shared" si="60"/>
        <v>0</v>
      </c>
      <c r="L123" s="135">
        <f t="shared" si="56"/>
        <v>0</v>
      </c>
      <c r="M123" s="117"/>
      <c r="N123" s="116"/>
      <c r="O123" s="117"/>
      <c r="P123" s="111"/>
      <c r="Q123" s="174" t="s">
        <v>80</v>
      </c>
      <c r="R123" s="175"/>
    </row>
    <row r="124" spans="1:18" ht="18" customHeight="1" thickBot="1">
      <c r="A124" s="155" t="str">
        <f t="shared" si="65"/>
        <v/>
      </c>
      <c r="B124" s="155" t="str">
        <f>IF(B110="","",B122)</f>
        <v/>
      </c>
      <c r="C124" s="155" t="str">
        <f>IF(C110="","",$O$13)</f>
        <v/>
      </c>
      <c r="D124" s="153"/>
      <c r="E124" s="157" t="str">
        <f t="shared" si="64"/>
        <v/>
      </c>
      <c r="F124" s="158" t="str">
        <f t="shared" si="62"/>
        <v/>
      </c>
      <c r="G124" s="158" t="str">
        <f t="shared" si="57"/>
        <v/>
      </c>
      <c r="H124" s="131" t="str">
        <f>IF(B110="","",EOMONTH(LOOKUP(2,1/(H91:H105&lt;&gt;""),H91:H105),12))</f>
        <v/>
      </c>
      <c r="I124" s="132" t="str">
        <f t="shared" si="58"/>
        <v/>
      </c>
      <c r="J124" s="133" t="str">
        <f t="shared" si="59"/>
        <v/>
      </c>
      <c r="K124" s="134">
        <f t="shared" si="60"/>
        <v>0</v>
      </c>
      <c r="L124" s="135">
        <f t="shared" si="56"/>
        <v>0</v>
      </c>
      <c r="M124" s="117"/>
      <c r="N124" s="116"/>
      <c r="O124" s="117"/>
      <c r="P124" s="111"/>
      <c r="Q124" s="176" t="str">
        <f>IF(F110="","",SUM(G125,R120))</f>
        <v/>
      </c>
      <c r="R124" s="177"/>
    </row>
    <row r="125" spans="1:18" ht="18" customHeight="1" thickTop="1">
      <c r="E125" s="138"/>
      <c r="F125" s="159" t="s">
        <v>79</v>
      </c>
      <c r="G125" s="160">
        <f>SUM(G110:G124)</f>
        <v>0</v>
      </c>
      <c r="H125" s="138"/>
      <c r="I125" s="141"/>
      <c r="J125" s="141"/>
      <c r="K125" s="142"/>
      <c r="L125" s="135">
        <f>SUM(L110:L124)</f>
        <v>0</v>
      </c>
      <c r="M125" s="117"/>
      <c r="N125" s="116"/>
      <c r="O125" s="117"/>
      <c r="P125" s="111"/>
    </row>
    <row r="126" spans="1:18" ht="18" customHeight="1">
      <c r="A126" s="111" t="s">
        <v>86</v>
      </c>
      <c r="M126" s="117"/>
      <c r="N126" s="116"/>
      <c r="O126" s="117"/>
    </row>
    <row r="127" spans="1:18" ht="18" customHeight="1">
      <c r="A127" s="150" t="s">
        <v>66</v>
      </c>
      <c r="B127" s="150" t="s">
        <v>56</v>
      </c>
      <c r="C127" s="150"/>
      <c r="D127" s="150"/>
      <c r="E127" s="150" t="s">
        <v>65</v>
      </c>
      <c r="F127" s="151" t="s">
        <v>77</v>
      </c>
      <c r="G127" s="152" t="s">
        <v>78</v>
      </c>
      <c r="H127" s="118" t="s">
        <v>7</v>
      </c>
      <c r="I127" s="118" t="s">
        <v>8</v>
      </c>
      <c r="J127" s="118" t="s">
        <v>9</v>
      </c>
      <c r="K127" s="123" t="s">
        <v>10</v>
      </c>
      <c r="L127" s="124" t="s">
        <v>55</v>
      </c>
      <c r="M127" s="119"/>
      <c r="N127" s="116"/>
      <c r="O127" s="117"/>
      <c r="Q127" s="153" t="s">
        <v>50</v>
      </c>
      <c r="R127" s="179">
        <v>1.4999999999999999E-2</v>
      </c>
    </row>
    <row r="128" spans="1:18" ht="18" customHeight="1">
      <c r="A128" s="150"/>
      <c r="B128" s="153" t="s">
        <v>52</v>
      </c>
      <c r="C128" s="153" t="s">
        <v>53</v>
      </c>
      <c r="D128" s="153" t="s">
        <v>54</v>
      </c>
      <c r="E128" s="150"/>
      <c r="F128" s="154"/>
      <c r="G128" s="152"/>
      <c r="H128" s="118"/>
      <c r="I128" s="118"/>
      <c r="J128" s="118"/>
      <c r="K128" s="123"/>
      <c r="L128" s="124"/>
      <c r="M128" s="115"/>
      <c r="N128" s="116"/>
      <c r="O128" s="117"/>
      <c r="P128" s="111"/>
    </row>
    <row r="129" spans="1:18" ht="18" customHeight="1">
      <c r="A129" s="155" t="str">
        <f>IF(B129="","",$M$2)</f>
        <v/>
      </c>
      <c r="B129" s="155" t="str">
        <f>IF(B110="","",YEAR(LOOKUP(2,1/(H110:H124&lt;&gt;""),H110:H124)))</f>
        <v/>
      </c>
      <c r="C129" s="155" t="str">
        <f>IF(B129="","",$O$2)</f>
        <v/>
      </c>
      <c r="D129" s="155" t="str">
        <f>IF(C129="","",1)</f>
        <v/>
      </c>
      <c r="E129" s="157" t="str">
        <f t="shared" ref="E129:E132" si="66">IF(OR(A129="",B129="",C129=""),"",IF(A129="定例積立",CONCATENATE(B129,"/",C129,"/","25"),IF(AND(A129="手当積立",C129=6),CONCATENATE(B129,"/",SUM(C129,1),"/","5"),IF(AND(A129="手当積立",C129=12),CONCATENATE(B129,"/",C129,"/","15"),CONCATENATE(B129,"/",C129,"/",D129)))))</f>
        <v/>
      </c>
      <c r="F129" s="158" t="str">
        <f>IF(Q124=0,"",Q124)</f>
        <v/>
      </c>
      <c r="G129" s="158" t="str">
        <f>IF(A129="","",F129)</f>
        <v/>
      </c>
      <c r="H129" s="131" t="str">
        <f>IF(B129="","",EOMONTH(LOOKUP(2,1/(H110:H124&lt;&gt;""),H110:H124),12))</f>
        <v/>
      </c>
      <c r="I129" s="132" t="str">
        <f>IF(E129="","",SUM((H129-E129),1))</f>
        <v/>
      </c>
      <c r="J129" s="133" t="str">
        <f>IF(A129="","",H129-DATEVALUE(CONCATENATE(SUM(YEAR(H129),-1),"/3/31")))</f>
        <v/>
      </c>
      <c r="K129" s="134">
        <f>IF(ISERROR(ROUNDDOWN(G129/100,0)*100),0,ROUNDDOWN(G129/100,0)*100)</f>
        <v>0</v>
      </c>
      <c r="L129" s="135">
        <f t="shared" ref="L129:L143" si="67">IFERROR(ROUNDDOWN(K129*I129/J129,0),0)</f>
        <v>0</v>
      </c>
      <c r="M129" s="117"/>
      <c r="N129" s="116"/>
      <c r="O129" s="117"/>
      <c r="P129" s="111"/>
      <c r="Q129" s="161" t="s">
        <v>57</v>
      </c>
      <c r="R129" s="162"/>
    </row>
    <row r="130" spans="1:18" ht="18" customHeight="1">
      <c r="A130" s="155" t="str">
        <f>IF(B130="","",$M$3)</f>
        <v/>
      </c>
      <c r="B130" s="155" t="str">
        <f>B129</f>
        <v/>
      </c>
      <c r="C130" s="155" t="str">
        <f>IF(C129="","",$O$2)</f>
        <v/>
      </c>
      <c r="D130" s="153"/>
      <c r="E130" s="157" t="str">
        <f t="shared" si="66"/>
        <v/>
      </c>
      <c r="F130" s="158" t="str">
        <f>IF(ISERROR(VLOOKUP(A130,$B$10:$E$11,4,FALSE)),"",VLOOKUP(A130,$B$10:$E$11,4,FALSE))</f>
        <v/>
      </c>
      <c r="G130" s="158" t="str">
        <f t="shared" ref="G130:G143" si="68">IF(A130="","",F130)</f>
        <v/>
      </c>
      <c r="H130" s="131" t="str">
        <f>IF(B129="","",EOMONTH(LOOKUP(2,1/(H110:H124&lt;&gt;""),H110:H124),12))</f>
        <v/>
      </c>
      <c r="I130" s="132" t="str">
        <f t="shared" ref="I130:I143" si="69">IF(E130="","",SUM((H130-E130),1))</f>
        <v/>
      </c>
      <c r="J130" s="133" t="str">
        <f t="shared" ref="J130:J143" si="70">IF(A130="","",H130-DATEVALUE(CONCATENATE(SUM(YEAR(H130),-1),"/3/31")))</f>
        <v/>
      </c>
      <c r="K130" s="134">
        <f t="shared" ref="K130:K143" si="71">IF(ISERROR(ROUNDDOWN(G130/100,0)*100),0,ROUNDDOWN(G130/100,0)*100)</f>
        <v>0</v>
      </c>
      <c r="L130" s="135">
        <f t="shared" si="67"/>
        <v>0</v>
      </c>
      <c r="M130" s="117"/>
      <c r="N130" s="116"/>
      <c r="O130" s="117"/>
      <c r="P130" s="111"/>
      <c r="Q130" s="180">
        <v>0.15315000000000001</v>
      </c>
      <c r="R130" s="181"/>
    </row>
    <row r="131" spans="1:18" ht="18" customHeight="1">
      <c r="A131" s="155" t="str">
        <f t="shared" ref="A131:A132" si="72">IF(B131="","",$M$3)</f>
        <v/>
      </c>
      <c r="B131" s="155" t="str">
        <f>B129</f>
        <v/>
      </c>
      <c r="C131" s="155" t="str">
        <f>IF(C129="","",$O$3)</f>
        <v/>
      </c>
      <c r="D131" s="153"/>
      <c r="E131" s="157" t="str">
        <f t="shared" si="66"/>
        <v/>
      </c>
      <c r="F131" s="158" t="str">
        <f t="shared" ref="F131:F143" si="73">IF(ISERROR(VLOOKUP(A131,$B$10:$E$11,4,FALSE)),"",VLOOKUP(A131,$B$10:$E$11,4,FALSE))</f>
        <v/>
      </c>
      <c r="G131" s="158" t="str">
        <f t="shared" si="68"/>
        <v/>
      </c>
      <c r="H131" s="131" t="str">
        <f>IF(B129="","",EOMONTH(LOOKUP(2,1/(H110:H124&lt;&gt;""),H110:H124),12))</f>
        <v/>
      </c>
      <c r="I131" s="132" t="str">
        <f t="shared" si="69"/>
        <v/>
      </c>
      <c r="J131" s="133" t="str">
        <f t="shared" si="70"/>
        <v/>
      </c>
      <c r="K131" s="134">
        <f t="shared" si="71"/>
        <v>0</v>
      </c>
      <c r="L131" s="135">
        <f t="shared" si="67"/>
        <v>0</v>
      </c>
      <c r="M131" s="117"/>
      <c r="N131" s="116"/>
      <c r="O131" s="117"/>
      <c r="P131" s="111"/>
    </row>
    <row r="132" spans="1:18" ht="18" customHeight="1">
      <c r="A132" s="155" t="str">
        <f t="shared" si="72"/>
        <v/>
      </c>
      <c r="B132" s="155" t="str">
        <f>B129</f>
        <v/>
      </c>
      <c r="C132" s="155" t="str">
        <f>IF(C129="","",$O$4)</f>
        <v/>
      </c>
      <c r="D132" s="153"/>
      <c r="E132" s="157" t="str">
        <f t="shared" si="66"/>
        <v/>
      </c>
      <c r="F132" s="158" t="str">
        <f t="shared" si="73"/>
        <v/>
      </c>
      <c r="G132" s="158" t="str">
        <f t="shared" si="68"/>
        <v/>
      </c>
      <c r="H132" s="131" t="str">
        <f>IF(B129="","",EOMONTH(LOOKUP(2,1/(H110:H124&lt;&gt;""),H110:H124),12))</f>
        <v/>
      </c>
      <c r="I132" s="132" t="str">
        <f t="shared" si="69"/>
        <v/>
      </c>
      <c r="J132" s="133" t="str">
        <f t="shared" si="70"/>
        <v/>
      </c>
      <c r="K132" s="134">
        <f t="shared" si="71"/>
        <v>0</v>
      </c>
      <c r="L132" s="135">
        <f t="shared" si="67"/>
        <v>0</v>
      </c>
      <c r="M132" s="117"/>
      <c r="N132" s="116"/>
      <c r="O132" s="117"/>
      <c r="P132" s="111"/>
      <c r="Q132" s="163" t="s">
        <v>13</v>
      </c>
      <c r="R132" s="182">
        <v>0.05</v>
      </c>
    </row>
    <row r="133" spans="1:18" ht="18" customHeight="1">
      <c r="A133" s="155" t="str">
        <f>IF(B133="","",$M$4)</f>
        <v/>
      </c>
      <c r="B133" s="155" t="str">
        <f>B129</f>
        <v/>
      </c>
      <c r="C133" s="155" t="str">
        <f>IF(C129="","",$O$4)</f>
        <v/>
      </c>
      <c r="D133" s="153"/>
      <c r="E133" s="157" t="str">
        <f>IF(OR(A133="",B133="",C133=""),"",IF(A133="定例積立",CONCATENATE(B133,"/",C133,"/","25"),IF(AND(A133="手当積立",C133=6),CONCATENATE(B133,"/",SUM(C133,1),"/","5"),IF(AND(A133="手当積立",C133=12),CONCATENATE(B133,"/",C133,"/","15"),CONCATENATE(B133,"/",C133,"/",D133)))))</f>
        <v/>
      </c>
      <c r="F133" s="158" t="str">
        <f t="shared" si="73"/>
        <v/>
      </c>
      <c r="G133" s="158" t="str">
        <f t="shared" si="68"/>
        <v/>
      </c>
      <c r="H133" s="131" t="str">
        <f>IF(B129="","",EOMONTH(LOOKUP(2,1/(H110:H124&lt;&gt;""),H110:H124),12))</f>
        <v/>
      </c>
      <c r="I133" s="132" t="str">
        <f t="shared" si="69"/>
        <v/>
      </c>
      <c r="J133" s="133" t="str">
        <f t="shared" si="70"/>
        <v/>
      </c>
      <c r="K133" s="134">
        <f t="shared" si="71"/>
        <v>0</v>
      </c>
      <c r="L133" s="135">
        <f t="shared" si="67"/>
        <v>0</v>
      </c>
      <c r="M133" s="117"/>
      <c r="N133" s="116"/>
      <c r="O133" s="117"/>
      <c r="P133" s="111"/>
    </row>
    <row r="134" spans="1:18" ht="18" customHeight="1">
      <c r="A134" s="155" t="str">
        <f t="shared" ref="A134:A138" si="74">IF(B134="","",$M$3)</f>
        <v/>
      </c>
      <c r="B134" s="155" t="str">
        <f>B129</f>
        <v/>
      </c>
      <c r="C134" s="155" t="str">
        <f>IF(C129="","",$O$5)</f>
        <v/>
      </c>
      <c r="D134" s="153"/>
      <c r="E134" s="157" t="str">
        <f t="shared" ref="E134:E143" si="75">IF(OR(A134="",B134="",C134=""),"",IF(A134="定例積立",CONCATENATE(B134,"/",C134,"/","25"),IF(AND(A134="手当積立",C134=6),CONCATENATE(B134,"/",SUM(C134,1),"/","5"),IF(AND(A134="手当積立",C134=12),CONCATENATE(B134,"/",C134,"/","15"),CONCATENATE(B134,"/",C134,"/",D134)))))</f>
        <v/>
      </c>
      <c r="F134" s="158" t="str">
        <f t="shared" si="73"/>
        <v/>
      </c>
      <c r="G134" s="158" t="str">
        <f t="shared" si="68"/>
        <v/>
      </c>
      <c r="H134" s="131" t="str">
        <f>IF(B129="","",EOMONTH(LOOKUP(2,1/(H110:H124&lt;&gt;""),H110:H124),12))</f>
        <v/>
      </c>
      <c r="I134" s="132" t="str">
        <f t="shared" si="69"/>
        <v/>
      </c>
      <c r="J134" s="133" t="str">
        <f t="shared" si="70"/>
        <v/>
      </c>
      <c r="K134" s="134">
        <f t="shared" si="71"/>
        <v>0</v>
      </c>
      <c r="L134" s="135">
        <f t="shared" si="67"/>
        <v>0</v>
      </c>
      <c r="M134" s="117"/>
      <c r="N134" s="116"/>
      <c r="O134" s="117"/>
      <c r="P134" s="111"/>
      <c r="Q134" s="164" t="s">
        <v>81</v>
      </c>
      <c r="R134" s="165"/>
    </row>
    <row r="135" spans="1:18" ht="18" customHeight="1">
      <c r="A135" s="155" t="str">
        <f t="shared" si="74"/>
        <v/>
      </c>
      <c r="B135" s="155" t="str">
        <f>B129</f>
        <v/>
      </c>
      <c r="C135" s="155" t="str">
        <f>IF(C129="","",$O$6)</f>
        <v/>
      </c>
      <c r="D135" s="153"/>
      <c r="E135" s="157" t="str">
        <f t="shared" si="75"/>
        <v/>
      </c>
      <c r="F135" s="158" t="str">
        <f t="shared" si="73"/>
        <v/>
      </c>
      <c r="G135" s="158" t="str">
        <f t="shared" si="68"/>
        <v/>
      </c>
      <c r="H135" s="131" t="str">
        <f>IF(B129="","",EOMONTH(LOOKUP(2,1/(H110:H124&lt;&gt;""),H110:H124),12))</f>
        <v/>
      </c>
      <c r="I135" s="132" t="str">
        <f t="shared" si="69"/>
        <v/>
      </c>
      <c r="J135" s="133" t="str">
        <f t="shared" si="70"/>
        <v/>
      </c>
      <c r="K135" s="134">
        <f t="shared" si="71"/>
        <v>0</v>
      </c>
      <c r="L135" s="135">
        <f t="shared" si="67"/>
        <v>0</v>
      </c>
      <c r="M135" s="117"/>
      <c r="N135" s="116"/>
      <c r="O135" s="117"/>
      <c r="P135" s="111"/>
      <c r="Q135" s="166" t="s">
        <v>11</v>
      </c>
      <c r="R135" s="167">
        <f>ROUNDDOWN(L144*R127,0)</f>
        <v>0</v>
      </c>
    </row>
    <row r="136" spans="1:18" ht="18" customHeight="1">
      <c r="A136" s="155" t="str">
        <f t="shared" si="74"/>
        <v/>
      </c>
      <c r="B136" s="155" t="str">
        <f>B129</f>
        <v/>
      </c>
      <c r="C136" s="155" t="str">
        <f>IF(C129="","",$O$7)</f>
        <v/>
      </c>
      <c r="D136" s="153"/>
      <c r="E136" s="157" t="str">
        <f t="shared" si="75"/>
        <v/>
      </c>
      <c r="F136" s="158" t="str">
        <f t="shared" si="73"/>
        <v/>
      </c>
      <c r="G136" s="158" t="str">
        <f t="shared" si="68"/>
        <v/>
      </c>
      <c r="H136" s="131" t="str">
        <f>IF(B129="","",EOMONTH(LOOKUP(2,1/(H110:H124&lt;&gt;""),H110:H124),12))</f>
        <v/>
      </c>
      <c r="I136" s="132" t="str">
        <f t="shared" si="69"/>
        <v/>
      </c>
      <c r="J136" s="133" t="str">
        <f t="shared" si="70"/>
        <v/>
      </c>
      <c r="K136" s="134">
        <f t="shared" si="71"/>
        <v>0</v>
      </c>
      <c r="L136" s="135">
        <f t="shared" si="67"/>
        <v>0</v>
      </c>
      <c r="M136" s="117"/>
      <c r="N136" s="116"/>
      <c r="O136" s="117"/>
      <c r="P136" s="111"/>
      <c r="Q136" s="166" t="s">
        <v>12</v>
      </c>
      <c r="R136" s="168">
        <f>ROUNDDOWN(R135*Q130,0)</f>
        <v>0</v>
      </c>
    </row>
    <row r="137" spans="1:18" ht="18" customHeight="1">
      <c r="A137" s="155" t="str">
        <f t="shared" si="74"/>
        <v/>
      </c>
      <c r="B137" s="155" t="str">
        <f>B129</f>
        <v/>
      </c>
      <c r="C137" s="155" t="str">
        <f>IF(C129="","",$O$8)</f>
        <v/>
      </c>
      <c r="D137" s="153"/>
      <c r="E137" s="157" t="str">
        <f t="shared" si="75"/>
        <v/>
      </c>
      <c r="F137" s="158" t="str">
        <f t="shared" si="73"/>
        <v/>
      </c>
      <c r="G137" s="158" t="str">
        <f t="shared" si="68"/>
        <v/>
      </c>
      <c r="H137" s="131" t="str">
        <f>IF(B129="","",EOMONTH(LOOKUP(2,1/(H110:H124&lt;&gt;""),H110:H124),12))</f>
        <v/>
      </c>
      <c r="I137" s="132" t="str">
        <f t="shared" si="69"/>
        <v/>
      </c>
      <c r="J137" s="133" t="str">
        <f t="shared" si="70"/>
        <v/>
      </c>
      <c r="K137" s="134">
        <f t="shared" si="71"/>
        <v>0</v>
      </c>
      <c r="L137" s="135">
        <f t="shared" si="67"/>
        <v>0</v>
      </c>
      <c r="M137" s="117"/>
      <c r="N137" s="116"/>
      <c r="O137" s="117"/>
      <c r="P137" s="111"/>
      <c r="Q137" s="169" t="s">
        <v>13</v>
      </c>
      <c r="R137" s="167">
        <f>ROUNDDOWN(R135*R132,0)</f>
        <v>0</v>
      </c>
    </row>
    <row r="138" spans="1:18" ht="18" customHeight="1">
      <c r="A138" s="155" t="str">
        <f t="shared" si="74"/>
        <v/>
      </c>
      <c r="B138" s="155" t="str">
        <f>B129</f>
        <v/>
      </c>
      <c r="C138" s="155" t="str">
        <f>IF(C129="","",$O$9)</f>
        <v/>
      </c>
      <c r="D138" s="153"/>
      <c r="E138" s="157" t="str">
        <f t="shared" si="75"/>
        <v/>
      </c>
      <c r="F138" s="158" t="str">
        <f t="shared" si="73"/>
        <v/>
      </c>
      <c r="G138" s="158" t="str">
        <f t="shared" si="68"/>
        <v/>
      </c>
      <c r="H138" s="131" t="str">
        <f>IF(B129="","",EOMONTH(LOOKUP(2,1/(H110:H124&lt;&gt;""),H110:H124),12))</f>
        <v/>
      </c>
      <c r="I138" s="132" t="str">
        <f t="shared" si="69"/>
        <v/>
      </c>
      <c r="J138" s="133" t="str">
        <f t="shared" si="70"/>
        <v/>
      </c>
      <c r="K138" s="134">
        <f t="shared" si="71"/>
        <v>0</v>
      </c>
      <c r="L138" s="135">
        <f t="shared" si="67"/>
        <v>0</v>
      </c>
      <c r="M138" s="117"/>
      <c r="N138" s="116"/>
      <c r="O138" s="117"/>
      <c r="P138" s="111"/>
      <c r="Q138" s="170" t="s">
        <v>82</v>
      </c>
      <c r="R138" s="171">
        <f>SUM(R136:R137)</f>
        <v>0</v>
      </c>
    </row>
    <row r="139" spans="1:18" ht="18" customHeight="1">
      <c r="A139" s="155" t="str">
        <f>IF(B139="","",$M$4)</f>
        <v/>
      </c>
      <c r="B139" s="155" t="str">
        <f>B129</f>
        <v/>
      </c>
      <c r="C139" s="155" t="str">
        <f>IF(C129="","",$O$10)</f>
        <v/>
      </c>
      <c r="D139" s="153"/>
      <c r="E139" s="157" t="str">
        <f t="shared" si="75"/>
        <v/>
      </c>
      <c r="F139" s="158" t="str">
        <f t="shared" si="73"/>
        <v/>
      </c>
      <c r="G139" s="158" t="str">
        <f t="shared" si="68"/>
        <v/>
      </c>
      <c r="H139" s="131" t="str">
        <f>IF(B129="","",EOMONTH(LOOKUP(2,1/(H110:H124&lt;&gt;""),H110:H124),12))</f>
        <v/>
      </c>
      <c r="I139" s="132" t="str">
        <f t="shared" si="69"/>
        <v/>
      </c>
      <c r="J139" s="133" t="str">
        <f t="shared" si="70"/>
        <v/>
      </c>
      <c r="K139" s="134">
        <f t="shared" si="71"/>
        <v>0</v>
      </c>
      <c r="L139" s="135">
        <f t="shared" si="67"/>
        <v>0</v>
      </c>
      <c r="M139" s="117"/>
      <c r="N139" s="116"/>
      <c r="O139" s="117"/>
      <c r="P139" s="111"/>
      <c r="Q139" s="172" t="s">
        <v>58</v>
      </c>
      <c r="R139" s="173">
        <f>R135-R138</f>
        <v>0</v>
      </c>
    </row>
    <row r="140" spans="1:18" ht="18" customHeight="1">
      <c r="A140" s="155" t="str">
        <f t="shared" ref="A140:A143" si="76">IF(B140="","",$M$3)</f>
        <v/>
      </c>
      <c r="B140" s="155" t="str">
        <f>B129</f>
        <v/>
      </c>
      <c r="C140" s="155" t="str">
        <f>IF(C129="","",$O$10)</f>
        <v/>
      </c>
      <c r="D140" s="153"/>
      <c r="E140" s="157" t="str">
        <f t="shared" si="75"/>
        <v/>
      </c>
      <c r="F140" s="158" t="str">
        <f t="shared" si="73"/>
        <v/>
      </c>
      <c r="G140" s="158" t="str">
        <f t="shared" si="68"/>
        <v/>
      </c>
      <c r="H140" s="131" t="str">
        <f>IF(B129="","",EOMONTH(LOOKUP(2,1/(H110:H124&lt;&gt;""),H110:H124),12))</f>
        <v/>
      </c>
      <c r="I140" s="132" t="str">
        <f t="shared" si="69"/>
        <v/>
      </c>
      <c r="J140" s="133" t="str">
        <f t="shared" si="70"/>
        <v/>
      </c>
      <c r="K140" s="134">
        <f t="shared" si="71"/>
        <v>0</v>
      </c>
      <c r="L140" s="135">
        <f t="shared" si="67"/>
        <v>0</v>
      </c>
      <c r="M140" s="117"/>
      <c r="N140" s="116"/>
      <c r="O140" s="117"/>
      <c r="P140" s="111"/>
    </row>
    <row r="141" spans="1:18" ht="18" customHeight="1" thickBot="1">
      <c r="A141" s="155" t="str">
        <f t="shared" si="76"/>
        <v/>
      </c>
      <c r="B141" s="155" t="str">
        <f>IF(B129="","",SUM(B129,1))</f>
        <v/>
      </c>
      <c r="C141" s="155" t="str">
        <f>IF(C129="","",$O$11)</f>
        <v/>
      </c>
      <c r="D141" s="153"/>
      <c r="E141" s="157" t="str">
        <f t="shared" si="75"/>
        <v/>
      </c>
      <c r="F141" s="158" t="str">
        <f t="shared" si="73"/>
        <v/>
      </c>
      <c r="G141" s="158" t="str">
        <f t="shared" si="68"/>
        <v/>
      </c>
      <c r="H141" s="131" t="str">
        <f>IF(B129="","",EOMONTH(LOOKUP(2,1/(H110:H124&lt;&gt;""),H110:H124),12))</f>
        <v/>
      </c>
      <c r="I141" s="132" t="str">
        <f t="shared" si="69"/>
        <v/>
      </c>
      <c r="J141" s="133" t="str">
        <f t="shared" si="70"/>
        <v/>
      </c>
      <c r="K141" s="134">
        <f t="shared" si="71"/>
        <v>0</v>
      </c>
      <c r="L141" s="135">
        <f t="shared" si="67"/>
        <v>0</v>
      </c>
      <c r="M141" s="117"/>
      <c r="N141" s="116"/>
      <c r="O141" s="117"/>
      <c r="P141" s="111"/>
    </row>
    <row r="142" spans="1:18" ht="18" customHeight="1" thickTop="1">
      <c r="A142" s="155" t="str">
        <f t="shared" si="76"/>
        <v/>
      </c>
      <c r="B142" s="155" t="str">
        <f>IF(B129="","",B141)</f>
        <v/>
      </c>
      <c r="C142" s="155" t="str">
        <f>IF(C129="","",$O$12)</f>
        <v/>
      </c>
      <c r="D142" s="153"/>
      <c r="E142" s="157" t="str">
        <f t="shared" si="75"/>
        <v/>
      </c>
      <c r="F142" s="158" t="str">
        <f t="shared" si="73"/>
        <v/>
      </c>
      <c r="G142" s="158" t="str">
        <f t="shared" si="68"/>
        <v/>
      </c>
      <c r="H142" s="131" t="str">
        <f>IF(B129="","",EOMONTH(LOOKUP(2,1/(H110:H124&lt;&gt;""),H110:H124),12))</f>
        <v/>
      </c>
      <c r="I142" s="132" t="str">
        <f t="shared" si="69"/>
        <v/>
      </c>
      <c r="J142" s="133" t="str">
        <f t="shared" si="70"/>
        <v/>
      </c>
      <c r="K142" s="134">
        <f t="shared" si="71"/>
        <v>0</v>
      </c>
      <c r="L142" s="135">
        <f t="shared" si="67"/>
        <v>0</v>
      </c>
      <c r="M142" s="117"/>
      <c r="N142" s="116"/>
      <c r="O142" s="117"/>
      <c r="P142" s="111"/>
      <c r="Q142" s="174" t="s">
        <v>80</v>
      </c>
      <c r="R142" s="175"/>
    </row>
    <row r="143" spans="1:18" ht="18" customHeight="1" thickBot="1">
      <c r="A143" s="155" t="str">
        <f t="shared" si="76"/>
        <v/>
      </c>
      <c r="B143" s="155" t="str">
        <f>IF(B129="","",B141)</f>
        <v/>
      </c>
      <c r="C143" s="155" t="str">
        <f>IF(C129="","",$O$13)</f>
        <v/>
      </c>
      <c r="D143" s="153"/>
      <c r="E143" s="157" t="str">
        <f t="shared" si="75"/>
        <v/>
      </c>
      <c r="F143" s="158" t="str">
        <f t="shared" si="73"/>
        <v/>
      </c>
      <c r="G143" s="158" t="str">
        <f t="shared" si="68"/>
        <v/>
      </c>
      <c r="H143" s="131" t="str">
        <f>IF(B129="","",EOMONTH(LOOKUP(2,1/(H110:H124&lt;&gt;""),H110:H124),12))</f>
        <v/>
      </c>
      <c r="I143" s="132" t="str">
        <f t="shared" si="69"/>
        <v/>
      </c>
      <c r="J143" s="133" t="str">
        <f t="shared" si="70"/>
        <v/>
      </c>
      <c r="K143" s="134">
        <f t="shared" si="71"/>
        <v>0</v>
      </c>
      <c r="L143" s="135">
        <f t="shared" si="67"/>
        <v>0</v>
      </c>
      <c r="M143" s="117"/>
      <c r="N143" s="116"/>
      <c r="O143" s="117"/>
      <c r="P143" s="111"/>
      <c r="Q143" s="176" t="str">
        <f>IF(F129="","",SUM(G144,R139))</f>
        <v/>
      </c>
      <c r="R143" s="177"/>
    </row>
    <row r="144" spans="1:18" ht="18" customHeight="1" thickTop="1">
      <c r="E144" s="138"/>
      <c r="F144" s="159" t="s">
        <v>79</v>
      </c>
      <c r="G144" s="160">
        <f>SUM(G129:G143)</f>
        <v>0</v>
      </c>
      <c r="H144" s="138"/>
      <c r="I144" s="141"/>
      <c r="J144" s="141"/>
      <c r="K144" s="142"/>
      <c r="L144" s="135">
        <f>SUM(L129:L143)</f>
        <v>0</v>
      </c>
      <c r="M144" s="117"/>
      <c r="N144" s="116"/>
      <c r="O144" s="117"/>
      <c r="P144" s="111"/>
    </row>
    <row r="145" spans="1:18" ht="18" customHeight="1">
      <c r="A145" s="111" t="s">
        <v>87</v>
      </c>
      <c r="M145" s="117"/>
      <c r="N145" s="116"/>
      <c r="O145" s="117"/>
    </row>
    <row r="146" spans="1:18" ht="18" customHeight="1">
      <c r="A146" s="150" t="s">
        <v>66</v>
      </c>
      <c r="B146" s="150" t="s">
        <v>56</v>
      </c>
      <c r="C146" s="150"/>
      <c r="D146" s="150"/>
      <c r="E146" s="150" t="s">
        <v>65</v>
      </c>
      <c r="F146" s="151" t="s">
        <v>77</v>
      </c>
      <c r="G146" s="152" t="s">
        <v>78</v>
      </c>
      <c r="H146" s="118" t="s">
        <v>7</v>
      </c>
      <c r="I146" s="118" t="s">
        <v>8</v>
      </c>
      <c r="J146" s="118" t="s">
        <v>9</v>
      </c>
      <c r="K146" s="123" t="s">
        <v>10</v>
      </c>
      <c r="L146" s="124" t="s">
        <v>55</v>
      </c>
      <c r="M146" s="119"/>
      <c r="N146" s="116"/>
      <c r="O146" s="117"/>
      <c r="Q146" s="153" t="s">
        <v>50</v>
      </c>
      <c r="R146" s="179">
        <v>1.4999999999999999E-2</v>
      </c>
    </row>
    <row r="147" spans="1:18" ht="18" customHeight="1">
      <c r="A147" s="150"/>
      <c r="B147" s="153" t="s">
        <v>52</v>
      </c>
      <c r="C147" s="153" t="s">
        <v>53</v>
      </c>
      <c r="D147" s="153" t="s">
        <v>54</v>
      </c>
      <c r="E147" s="150"/>
      <c r="F147" s="154"/>
      <c r="G147" s="152"/>
      <c r="H147" s="118"/>
      <c r="I147" s="118"/>
      <c r="J147" s="118"/>
      <c r="K147" s="123"/>
      <c r="L147" s="124"/>
      <c r="M147" s="115"/>
      <c r="N147" s="116"/>
      <c r="O147" s="117"/>
      <c r="P147" s="111"/>
    </row>
    <row r="148" spans="1:18" ht="18" customHeight="1">
      <c r="A148" s="155" t="str">
        <f>IF(B148="","",$M$2)</f>
        <v/>
      </c>
      <c r="B148" s="155" t="str">
        <f>IF(B129="","",YEAR(LOOKUP(2,1/(H129:H143&lt;&gt;""),H129:H143)))</f>
        <v/>
      </c>
      <c r="C148" s="155" t="str">
        <f>IF(B148="","",$O$2)</f>
        <v/>
      </c>
      <c r="D148" s="155" t="str">
        <f>IF(C148="","",1)</f>
        <v/>
      </c>
      <c r="E148" s="157" t="str">
        <f t="shared" ref="E148:E151" si="77">IF(OR(A148="",B148="",C148=""),"",IF(A148="定例積立",CONCATENATE(B148,"/",C148,"/","25"),IF(AND(A148="手当積立",C148=6),CONCATENATE(B148,"/",SUM(C148,1),"/","5"),IF(AND(A148="手当積立",C148=12),CONCATENATE(B148,"/",C148,"/","15"),CONCATENATE(B148,"/",C148,"/",D148)))))</f>
        <v/>
      </c>
      <c r="F148" s="158" t="str">
        <f>IF(Q143=0,"",Q143)</f>
        <v/>
      </c>
      <c r="G148" s="158" t="str">
        <f>IF(A148="","",F148)</f>
        <v/>
      </c>
      <c r="H148" s="131" t="str">
        <f>IF(B148="","",EOMONTH(LOOKUP(2,1/(H129:H143&lt;&gt;""),H129:H143),12))</f>
        <v/>
      </c>
      <c r="I148" s="132" t="str">
        <f>IF(E148="","",SUM((H148-E148),1))</f>
        <v/>
      </c>
      <c r="J148" s="133" t="str">
        <f>IF(A148="","",H148-DATEVALUE(CONCATENATE(SUM(YEAR(H148),-1),"/3/31")))</f>
        <v/>
      </c>
      <c r="K148" s="134">
        <f>IF(ISERROR(ROUNDDOWN(G148/100,0)*100),0,ROUNDDOWN(G148/100,0)*100)</f>
        <v>0</v>
      </c>
      <c r="L148" s="135">
        <f t="shared" ref="L148:L162" si="78">IFERROR(ROUNDDOWN(K148*I148/J148,0),0)</f>
        <v>0</v>
      </c>
      <c r="M148" s="117"/>
      <c r="N148" s="116"/>
      <c r="O148" s="117"/>
      <c r="P148" s="111"/>
      <c r="Q148" s="161" t="s">
        <v>57</v>
      </c>
      <c r="R148" s="162"/>
    </row>
    <row r="149" spans="1:18" ht="18" customHeight="1">
      <c r="A149" s="155" t="str">
        <f>IF(B149="","",$M$3)</f>
        <v/>
      </c>
      <c r="B149" s="155" t="str">
        <f>B148</f>
        <v/>
      </c>
      <c r="C149" s="155" t="str">
        <f>IF(C148="","",$O$2)</f>
        <v/>
      </c>
      <c r="D149" s="153"/>
      <c r="E149" s="157" t="str">
        <f t="shared" si="77"/>
        <v/>
      </c>
      <c r="F149" s="158" t="str">
        <f>IF(ISERROR(VLOOKUP(A149,$B$10:$E$11,4,FALSE)),"",VLOOKUP(A149,$B$10:$E$11,4,FALSE))</f>
        <v/>
      </c>
      <c r="G149" s="158" t="str">
        <f t="shared" ref="G149:G162" si="79">IF(A149="","",F149)</f>
        <v/>
      </c>
      <c r="H149" s="131" t="str">
        <f>IF(B148="","",EOMONTH(LOOKUP(2,1/(H129:H143&lt;&gt;""),H129:H143),12))</f>
        <v/>
      </c>
      <c r="I149" s="132" t="str">
        <f t="shared" ref="I149:I162" si="80">IF(E149="","",SUM((H149-E149),1))</f>
        <v/>
      </c>
      <c r="J149" s="133" t="str">
        <f t="shared" ref="J149:J162" si="81">IF(A149="","",H149-DATEVALUE(CONCATENATE(SUM(YEAR(H149),-1),"/3/31")))</f>
        <v/>
      </c>
      <c r="K149" s="134">
        <f t="shared" ref="K149:K162" si="82">IF(ISERROR(ROUNDDOWN(G149/100,0)*100),0,ROUNDDOWN(G149/100,0)*100)</f>
        <v>0</v>
      </c>
      <c r="L149" s="135">
        <f t="shared" si="78"/>
        <v>0</v>
      </c>
      <c r="M149" s="117"/>
      <c r="N149" s="116"/>
      <c r="O149" s="117"/>
      <c r="P149" s="111"/>
      <c r="Q149" s="180">
        <v>0.15315000000000001</v>
      </c>
      <c r="R149" s="181"/>
    </row>
    <row r="150" spans="1:18" ht="18" customHeight="1">
      <c r="A150" s="155" t="str">
        <f t="shared" ref="A150:A151" si="83">IF(B150="","",$M$3)</f>
        <v/>
      </c>
      <c r="B150" s="155" t="str">
        <f>B148</f>
        <v/>
      </c>
      <c r="C150" s="155" t="str">
        <f>IF(C148="","",$O$3)</f>
        <v/>
      </c>
      <c r="D150" s="153"/>
      <c r="E150" s="157" t="str">
        <f t="shared" si="77"/>
        <v/>
      </c>
      <c r="F150" s="158" t="str">
        <f t="shared" ref="F150:F162" si="84">IF(ISERROR(VLOOKUP(A150,$B$10:$E$11,4,FALSE)),"",VLOOKUP(A150,$B$10:$E$11,4,FALSE))</f>
        <v/>
      </c>
      <c r="G150" s="158" t="str">
        <f t="shared" si="79"/>
        <v/>
      </c>
      <c r="H150" s="131" t="str">
        <f>IF(B148="","",EOMONTH(LOOKUP(2,1/(H129:H143&lt;&gt;""),H129:H143),12))</f>
        <v/>
      </c>
      <c r="I150" s="132" t="str">
        <f t="shared" si="80"/>
        <v/>
      </c>
      <c r="J150" s="133" t="str">
        <f t="shared" si="81"/>
        <v/>
      </c>
      <c r="K150" s="134">
        <f t="shared" si="82"/>
        <v>0</v>
      </c>
      <c r="L150" s="135">
        <f t="shared" si="78"/>
        <v>0</v>
      </c>
      <c r="M150" s="117"/>
      <c r="N150" s="116"/>
      <c r="O150" s="117"/>
      <c r="P150" s="111"/>
    </row>
    <row r="151" spans="1:18" ht="18" customHeight="1">
      <c r="A151" s="155" t="str">
        <f t="shared" si="83"/>
        <v/>
      </c>
      <c r="B151" s="155" t="str">
        <f>B148</f>
        <v/>
      </c>
      <c r="C151" s="155" t="str">
        <f>IF(C148="","",$O$4)</f>
        <v/>
      </c>
      <c r="D151" s="153"/>
      <c r="E151" s="157" t="str">
        <f t="shared" si="77"/>
        <v/>
      </c>
      <c r="F151" s="158" t="str">
        <f t="shared" si="84"/>
        <v/>
      </c>
      <c r="G151" s="158" t="str">
        <f t="shared" si="79"/>
        <v/>
      </c>
      <c r="H151" s="131" t="str">
        <f>IF(B148="","",EOMONTH(LOOKUP(2,1/(H129:H143&lt;&gt;""),H129:H143),12))</f>
        <v/>
      </c>
      <c r="I151" s="132" t="str">
        <f t="shared" si="80"/>
        <v/>
      </c>
      <c r="J151" s="133" t="str">
        <f t="shared" si="81"/>
        <v/>
      </c>
      <c r="K151" s="134">
        <f t="shared" si="82"/>
        <v>0</v>
      </c>
      <c r="L151" s="135">
        <f t="shared" si="78"/>
        <v>0</v>
      </c>
      <c r="M151" s="117"/>
      <c r="N151" s="116"/>
      <c r="O151" s="117"/>
      <c r="P151" s="111"/>
      <c r="Q151" s="163" t="s">
        <v>13</v>
      </c>
      <c r="R151" s="182">
        <v>0.05</v>
      </c>
    </row>
    <row r="152" spans="1:18" ht="18" customHeight="1">
      <c r="A152" s="155" t="str">
        <f>IF(B152="","",$M$4)</f>
        <v/>
      </c>
      <c r="B152" s="155" t="str">
        <f>B148</f>
        <v/>
      </c>
      <c r="C152" s="155" t="str">
        <f>IF(C148="","",$O$4)</f>
        <v/>
      </c>
      <c r="D152" s="153"/>
      <c r="E152" s="157" t="str">
        <f>IF(OR(A152="",B152="",C152=""),"",IF(A152="定例積立",CONCATENATE(B152,"/",C152,"/","25"),IF(AND(A152="手当積立",C152=6),CONCATENATE(B152,"/",SUM(C152,1),"/","5"),IF(AND(A152="手当積立",C152=12),CONCATENATE(B152,"/",C152,"/","15"),CONCATENATE(B152,"/",C152,"/",D152)))))</f>
        <v/>
      </c>
      <c r="F152" s="158" t="str">
        <f t="shared" si="84"/>
        <v/>
      </c>
      <c r="G152" s="158" t="str">
        <f t="shared" si="79"/>
        <v/>
      </c>
      <c r="H152" s="131" t="str">
        <f>IF(B148="","",EOMONTH(LOOKUP(2,1/(H129:H143&lt;&gt;""),H129:H143),12))</f>
        <v/>
      </c>
      <c r="I152" s="132" t="str">
        <f t="shared" si="80"/>
        <v/>
      </c>
      <c r="J152" s="133" t="str">
        <f t="shared" si="81"/>
        <v/>
      </c>
      <c r="K152" s="134">
        <f t="shared" si="82"/>
        <v>0</v>
      </c>
      <c r="L152" s="135">
        <f t="shared" si="78"/>
        <v>0</v>
      </c>
      <c r="M152" s="117"/>
      <c r="N152" s="116"/>
      <c r="O152" s="117"/>
      <c r="P152" s="111"/>
    </row>
    <row r="153" spans="1:18" ht="18" customHeight="1">
      <c r="A153" s="155" t="str">
        <f t="shared" ref="A153:A157" si="85">IF(B153="","",$M$3)</f>
        <v/>
      </c>
      <c r="B153" s="155" t="str">
        <f>B148</f>
        <v/>
      </c>
      <c r="C153" s="155" t="str">
        <f>IF(C148="","",$O$5)</f>
        <v/>
      </c>
      <c r="D153" s="153"/>
      <c r="E153" s="157" t="str">
        <f t="shared" ref="E153:E162" si="86">IF(OR(A153="",B153="",C153=""),"",IF(A153="定例積立",CONCATENATE(B153,"/",C153,"/","25"),IF(AND(A153="手当積立",C153=6),CONCATENATE(B153,"/",SUM(C153,1),"/","5"),IF(AND(A153="手当積立",C153=12),CONCATENATE(B153,"/",C153,"/","15"),CONCATENATE(B153,"/",C153,"/",D153)))))</f>
        <v/>
      </c>
      <c r="F153" s="158" t="str">
        <f t="shared" si="84"/>
        <v/>
      </c>
      <c r="G153" s="158" t="str">
        <f t="shared" si="79"/>
        <v/>
      </c>
      <c r="H153" s="131" t="str">
        <f>IF(B148="","",EOMONTH(LOOKUP(2,1/(H129:H143&lt;&gt;""),H129:H143),12))</f>
        <v/>
      </c>
      <c r="I153" s="132" t="str">
        <f t="shared" si="80"/>
        <v/>
      </c>
      <c r="J153" s="133" t="str">
        <f t="shared" si="81"/>
        <v/>
      </c>
      <c r="K153" s="134">
        <f t="shared" si="82"/>
        <v>0</v>
      </c>
      <c r="L153" s="135">
        <f t="shared" si="78"/>
        <v>0</v>
      </c>
      <c r="M153" s="117"/>
      <c r="N153" s="116"/>
      <c r="O153" s="117"/>
      <c r="P153" s="111"/>
      <c r="Q153" s="164" t="s">
        <v>81</v>
      </c>
      <c r="R153" s="165"/>
    </row>
    <row r="154" spans="1:18" ht="18" customHeight="1">
      <c r="A154" s="155" t="str">
        <f t="shared" si="85"/>
        <v/>
      </c>
      <c r="B154" s="155" t="str">
        <f>B148</f>
        <v/>
      </c>
      <c r="C154" s="155" t="str">
        <f>IF(C148="","",$O$6)</f>
        <v/>
      </c>
      <c r="D154" s="153"/>
      <c r="E154" s="157" t="str">
        <f t="shared" si="86"/>
        <v/>
      </c>
      <c r="F154" s="158" t="str">
        <f t="shared" si="84"/>
        <v/>
      </c>
      <c r="G154" s="158" t="str">
        <f t="shared" si="79"/>
        <v/>
      </c>
      <c r="H154" s="131" t="str">
        <f>IF(B148="","",EOMONTH(LOOKUP(2,1/(H129:H143&lt;&gt;""),H129:H143),12))</f>
        <v/>
      </c>
      <c r="I154" s="132" t="str">
        <f t="shared" si="80"/>
        <v/>
      </c>
      <c r="J154" s="133" t="str">
        <f t="shared" si="81"/>
        <v/>
      </c>
      <c r="K154" s="134">
        <f t="shared" si="82"/>
        <v>0</v>
      </c>
      <c r="L154" s="135">
        <f t="shared" si="78"/>
        <v>0</v>
      </c>
      <c r="M154" s="117"/>
      <c r="N154" s="116"/>
      <c r="O154" s="117"/>
      <c r="P154" s="111"/>
      <c r="Q154" s="166" t="s">
        <v>11</v>
      </c>
      <c r="R154" s="167">
        <f>ROUNDDOWN(L163*R146,0)</f>
        <v>0</v>
      </c>
    </row>
    <row r="155" spans="1:18" ht="18" customHeight="1">
      <c r="A155" s="155" t="str">
        <f t="shared" si="85"/>
        <v/>
      </c>
      <c r="B155" s="155" t="str">
        <f>B148</f>
        <v/>
      </c>
      <c r="C155" s="155" t="str">
        <f>IF(C148="","",$O$7)</f>
        <v/>
      </c>
      <c r="D155" s="153"/>
      <c r="E155" s="157" t="str">
        <f t="shared" si="86"/>
        <v/>
      </c>
      <c r="F155" s="158" t="str">
        <f t="shared" si="84"/>
        <v/>
      </c>
      <c r="G155" s="158" t="str">
        <f t="shared" si="79"/>
        <v/>
      </c>
      <c r="H155" s="131" t="str">
        <f>IF(B148="","",EOMONTH(LOOKUP(2,1/(H129:H143&lt;&gt;""),H129:H143),12))</f>
        <v/>
      </c>
      <c r="I155" s="132" t="str">
        <f t="shared" si="80"/>
        <v/>
      </c>
      <c r="J155" s="133" t="str">
        <f t="shared" si="81"/>
        <v/>
      </c>
      <c r="K155" s="134">
        <f t="shared" si="82"/>
        <v>0</v>
      </c>
      <c r="L155" s="135">
        <f t="shared" si="78"/>
        <v>0</v>
      </c>
      <c r="M155" s="117"/>
      <c r="N155" s="116"/>
      <c r="O155" s="117"/>
      <c r="P155" s="111"/>
      <c r="Q155" s="166" t="s">
        <v>12</v>
      </c>
      <c r="R155" s="168">
        <f>ROUNDDOWN(R154*Q149,0)</f>
        <v>0</v>
      </c>
    </row>
    <row r="156" spans="1:18" ht="18" customHeight="1">
      <c r="A156" s="155" t="str">
        <f t="shared" si="85"/>
        <v/>
      </c>
      <c r="B156" s="155" t="str">
        <f>B148</f>
        <v/>
      </c>
      <c r="C156" s="155" t="str">
        <f>IF(C148="","",$O$8)</f>
        <v/>
      </c>
      <c r="D156" s="153"/>
      <c r="E156" s="157" t="str">
        <f t="shared" si="86"/>
        <v/>
      </c>
      <c r="F156" s="158" t="str">
        <f t="shared" si="84"/>
        <v/>
      </c>
      <c r="G156" s="158" t="str">
        <f t="shared" si="79"/>
        <v/>
      </c>
      <c r="H156" s="131" t="str">
        <f>IF(B148="","",EOMONTH(LOOKUP(2,1/(H129:H143&lt;&gt;""),H129:H143),12))</f>
        <v/>
      </c>
      <c r="I156" s="132" t="str">
        <f t="shared" si="80"/>
        <v/>
      </c>
      <c r="J156" s="133" t="str">
        <f t="shared" si="81"/>
        <v/>
      </c>
      <c r="K156" s="134">
        <f t="shared" si="82"/>
        <v>0</v>
      </c>
      <c r="L156" s="135">
        <f t="shared" si="78"/>
        <v>0</v>
      </c>
      <c r="M156" s="117"/>
      <c r="N156" s="116"/>
      <c r="O156" s="117"/>
      <c r="P156" s="111"/>
      <c r="Q156" s="169" t="s">
        <v>13</v>
      </c>
      <c r="R156" s="167">
        <f>ROUNDDOWN(R154*R151,0)</f>
        <v>0</v>
      </c>
    </row>
    <row r="157" spans="1:18" ht="18" customHeight="1">
      <c r="A157" s="155" t="str">
        <f t="shared" si="85"/>
        <v/>
      </c>
      <c r="B157" s="155" t="str">
        <f>B148</f>
        <v/>
      </c>
      <c r="C157" s="155" t="str">
        <f>IF(C148="","",$O$9)</f>
        <v/>
      </c>
      <c r="D157" s="153"/>
      <c r="E157" s="157" t="str">
        <f t="shared" si="86"/>
        <v/>
      </c>
      <c r="F157" s="158" t="str">
        <f t="shared" si="84"/>
        <v/>
      </c>
      <c r="G157" s="158" t="str">
        <f t="shared" si="79"/>
        <v/>
      </c>
      <c r="H157" s="131" t="str">
        <f>IF(B148="","",EOMONTH(LOOKUP(2,1/(H129:H143&lt;&gt;""),H129:H143),12))</f>
        <v/>
      </c>
      <c r="I157" s="132" t="str">
        <f t="shared" si="80"/>
        <v/>
      </c>
      <c r="J157" s="133" t="str">
        <f t="shared" si="81"/>
        <v/>
      </c>
      <c r="K157" s="134">
        <f t="shared" si="82"/>
        <v>0</v>
      </c>
      <c r="L157" s="135">
        <f t="shared" si="78"/>
        <v>0</v>
      </c>
      <c r="M157" s="117"/>
      <c r="N157" s="116"/>
      <c r="O157" s="117"/>
      <c r="P157" s="111"/>
      <c r="Q157" s="170" t="s">
        <v>82</v>
      </c>
      <c r="R157" s="171">
        <f>SUM(R155:R156)</f>
        <v>0</v>
      </c>
    </row>
    <row r="158" spans="1:18" ht="18" customHeight="1">
      <c r="A158" s="155" t="str">
        <f>IF(B158="","",$M$4)</f>
        <v/>
      </c>
      <c r="B158" s="155" t="str">
        <f>B148</f>
        <v/>
      </c>
      <c r="C158" s="155" t="str">
        <f>IF(C148="","",$O$10)</f>
        <v/>
      </c>
      <c r="D158" s="153"/>
      <c r="E158" s="157" t="str">
        <f t="shared" si="86"/>
        <v/>
      </c>
      <c r="F158" s="158" t="str">
        <f t="shared" si="84"/>
        <v/>
      </c>
      <c r="G158" s="158" t="str">
        <f t="shared" si="79"/>
        <v/>
      </c>
      <c r="H158" s="131" t="str">
        <f>IF(B148="","",EOMONTH(LOOKUP(2,1/(H129:H143&lt;&gt;""),H129:H143),12))</f>
        <v/>
      </c>
      <c r="I158" s="132" t="str">
        <f t="shared" si="80"/>
        <v/>
      </c>
      <c r="J158" s="133" t="str">
        <f t="shared" si="81"/>
        <v/>
      </c>
      <c r="K158" s="134">
        <f t="shared" si="82"/>
        <v>0</v>
      </c>
      <c r="L158" s="135">
        <f t="shared" si="78"/>
        <v>0</v>
      </c>
      <c r="M158" s="117"/>
      <c r="N158" s="116"/>
      <c r="O158" s="117"/>
      <c r="P158" s="111"/>
      <c r="Q158" s="172" t="s">
        <v>58</v>
      </c>
      <c r="R158" s="173">
        <f>R154-R157</f>
        <v>0</v>
      </c>
    </row>
    <row r="159" spans="1:18" ht="18" customHeight="1">
      <c r="A159" s="155" t="str">
        <f t="shared" ref="A159:A162" si="87">IF(B159="","",$M$3)</f>
        <v/>
      </c>
      <c r="B159" s="155" t="str">
        <f>B148</f>
        <v/>
      </c>
      <c r="C159" s="155" t="str">
        <f>IF(C148="","",$O$10)</f>
        <v/>
      </c>
      <c r="D159" s="153"/>
      <c r="E159" s="157" t="str">
        <f t="shared" si="86"/>
        <v/>
      </c>
      <c r="F159" s="158" t="str">
        <f t="shared" si="84"/>
        <v/>
      </c>
      <c r="G159" s="158" t="str">
        <f t="shared" si="79"/>
        <v/>
      </c>
      <c r="H159" s="131" t="str">
        <f>IF(B148="","",EOMONTH(LOOKUP(2,1/(H129:H143&lt;&gt;""),H129:H143),12))</f>
        <v/>
      </c>
      <c r="I159" s="132" t="str">
        <f t="shared" si="80"/>
        <v/>
      </c>
      <c r="J159" s="133" t="str">
        <f t="shared" si="81"/>
        <v/>
      </c>
      <c r="K159" s="134">
        <f t="shared" si="82"/>
        <v>0</v>
      </c>
      <c r="L159" s="135">
        <f t="shared" si="78"/>
        <v>0</v>
      </c>
      <c r="M159" s="117"/>
      <c r="N159" s="116"/>
      <c r="O159" s="117"/>
      <c r="P159" s="111"/>
    </row>
    <row r="160" spans="1:18" ht="18" customHeight="1" thickBot="1">
      <c r="A160" s="155" t="str">
        <f t="shared" si="87"/>
        <v/>
      </c>
      <c r="B160" s="155" t="str">
        <f>IF(B148="","",SUM(B148,1))</f>
        <v/>
      </c>
      <c r="C160" s="155" t="str">
        <f>IF(C148="","",$O$11)</f>
        <v/>
      </c>
      <c r="D160" s="153"/>
      <c r="E160" s="157" t="str">
        <f t="shared" si="86"/>
        <v/>
      </c>
      <c r="F160" s="158" t="str">
        <f t="shared" si="84"/>
        <v/>
      </c>
      <c r="G160" s="158" t="str">
        <f t="shared" si="79"/>
        <v/>
      </c>
      <c r="H160" s="131" t="str">
        <f>IF(B148="","",EOMONTH(LOOKUP(2,1/(H129:H143&lt;&gt;""),H129:H143),12))</f>
        <v/>
      </c>
      <c r="I160" s="132" t="str">
        <f t="shared" si="80"/>
        <v/>
      </c>
      <c r="J160" s="133" t="str">
        <f t="shared" si="81"/>
        <v/>
      </c>
      <c r="K160" s="134">
        <f t="shared" si="82"/>
        <v>0</v>
      </c>
      <c r="L160" s="135">
        <f t="shared" si="78"/>
        <v>0</v>
      </c>
      <c r="M160" s="117"/>
      <c r="N160" s="116"/>
      <c r="O160" s="117"/>
      <c r="P160" s="111"/>
    </row>
    <row r="161" spans="1:18" ht="18" customHeight="1" thickTop="1">
      <c r="A161" s="155" t="str">
        <f t="shared" si="87"/>
        <v/>
      </c>
      <c r="B161" s="155" t="str">
        <f>IF(B148="","",B160)</f>
        <v/>
      </c>
      <c r="C161" s="155" t="str">
        <f>IF(C148="","",$O$12)</f>
        <v/>
      </c>
      <c r="D161" s="153"/>
      <c r="E161" s="157" t="str">
        <f t="shared" si="86"/>
        <v/>
      </c>
      <c r="F161" s="158" t="str">
        <f t="shared" si="84"/>
        <v/>
      </c>
      <c r="G161" s="158" t="str">
        <f t="shared" si="79"/>
        <v/>
      </c>
      <c r="H161" s="131" t="str">
        <f>IF(B148="","",EOMONTH(LOOKUP(2,1/(H129:H143&lt;&gt;""),H129:H143),12))</f>
        <v/>
      </c>
      <c r="I161" s="132" t="str">
        <f t="shared" si="80"/>
        <v/>
      </c>
      <c r="J161" s="133" t="str">
        <f t="shared" si="81"/>
        <v/>
      </c>
      <c r="K161" s="134">
        <f t="shared" si="82"/>
        <v>0</v>
      </c>
      <c r="L161" s="135">
        <f t="shared" si="78"/>
        <v>0</v>
      </c>
      <c r="M161" s="117"/>
      <c r="N161" s="116"/>
      <c r="O161" s="117"/>
      <c r="P161" s="111"/>
      <c r="Q161" s="174" t="s">
        <v>80</v>
      </c>
      <c r="R161" s="175"/>
    </row>
    <row r="162" spans="1:18" ht="18" customHeight="1" thickBot="1">
      <c r="A162" s="155" t="str">
        <f t="shared" si="87"/>
        <v/>
      </c>
      <c r="B162" s="155" t="str">
        <f>IF(B148="","",B160)</f>
        <v/>
      </c>
      <c r="C162" s="155" t="str">
        <f>IF(C148="","",$O$13)</f>
        <v/>
      </c>
      <c r="D162" s="153"/>
      <c r="E162" s="157" t="str">
        <f t="shared" si="86"/>
        <v/>
      </c>
      <c r="F162" s="158" t="str">
        <f t="shared" si="84"/>
        <v/>
      </c>
      <c r="G162" s="158" t="str">
        <f t="shared" si="79"/>
        <v/>
      </c>
      <c r="H162" s="131" t="str">
        <f>IF(B148="","",EOMONTH(LOOKUP(2,1/(H129:H143&lt;&gt;""),H129:H143),12))</f>
        <v/>
      </c>
      <c r="I162" s="132" t="str">
        <f t="shared" si="80"/>
        <v/>
      </c>
      <c r="J162" s="133" t="str">
        <f t="shared" si="81"/>
        <v/>
      </c>
      <c r="K162" s="134">
        <f t="shared" si="82"/>
        <v>0</v>
      </c>
      <c r="L162" s="135">
        <f t="shared" si="78"/>
        <v>0</v>
      </c>
      <c r="M162" s="117"/>
      <c r="N162" s="116"/>
      <c r="O162" s="117"/>
      <c r="P162" s="111"/>
      <c r="Q162" s="176" t="str">
        <f>IF(F148="","",SUM(G163,R158))</f>
        <v/>
      </c>
      <c r="R162" s="177"/>
    </row>
    <row r="163" spans="1:18" ht="18" customHeight="1" thickTop="1">
      <c r="E163" s="138"/>
      <c r="F163" s="159" t="s">
        <v>79</v>
      </c>
      <c r="G163" s="160">
        <f>SUM(G148:G162)</f>
        <v>0</v>
      </c>
      <c r="H163" s="138"/>
      <c r="I163" s="141"/>
      <c r="J163" s="141"/>
      <c r="K163" s="142"/>
      <c r="L163" s="135">
        <f>SUM(L148:L162)</f>
        <v>0</v>
      </c>
      <c r="M163" s="117"/>
      <c r="N163" s="116"/>
      <c r="O163" s="117"/>
      <c r="P163" s="111"/>
    </row>
    <row r="164" spans="1:18" ht="18" customHeight="1">
      <c r="A164" s="111" t="s">
        <v>88</v>
      </c>
      <c r="M164" s="117"/>
      <c r="N164" s="116"/>
      <c r="O164" s="117"/>
    </row>
    <row r="165" spans="1:18" ht="18" customHeight="1">
      <c r="A165" s="150" t="s">
        <v>66</v>
      </c>
      <c r="B165" s="150" t="s">
        <v>56</v>
      </c>
      <c r="C165" s="150"/>
      <c r="D165" s="150"/>
      <c r="E165" s="150" t="s">
        <v>65</v>
      </c>
      <c r="F165" s="151" t="s">
        <v>77</v>
      </c>
      <c r="G165" s="152" t="s">
        <v>78</v>
      </c>
      <c r="H165" s="118" t="s">
        <v>7</v>
      </c>
      <c r="I165" s="118" t="s">
        <v>8</v>
      </c>
      <c r="J165" s="118" t="s">
        <v>9</v>
      </c>
      <c r="K165" s="123" t="s">
        <v>10</v>
      </c>
      <c r="L165" s="124" t="s">
        <v>55</v>
      </c>
      <c r="M165" s="119"/>
      <c r="N165" s="116"/>
      <c r="O165" s="117"/>
      <c r="Q165" s="153" t="s">
        <v>50</v>
      </c>
      <c r="R165" s="179">
        <v>1.4999999999999999E-2</v>
      </c>
    </row>
    <row r="166" spans="1:18" ht="18" customHeight="1">
      <c r="A166" s="150"/>
      <c r="B166" s="153" t="s">
        <v>52</v>
      </c>
      <c r="C166" s="153" t="s">
        <v>53</v>
      </c>
      <c r="D166" s="153" t="s">
        <v>54</v>
      </c>
      <c r="E166" s="150"/>
      <c r="F166" s="154"/>
      <c r="G166" s="152"/>
      <c r="H166" s="118"/>
      <c r="I166" s="118"/>
      <c r="J166" s="118"/>
      <c r="K166" s="123"/>
      <c r="L166" s="124"/>
      <c r="M166" s="115"/>
      <c r="N166" s="116"/>
      <c r="O166" s="117"/>
      <c r="P166" s="111"/>
    </row>
    <row r="167" spans="1:18" ht="18" customHeight="1">
      <c r="A167" s="155" t="str">
        <f>IF(B167="","",$M$2)</f>
        <v/>
      </c>
      <c r="B167" s="155" t="str">
        <f>IF(B148="","",YEAR(LOOKUP(2,1/(H148:H162&lt;&gt;""),H148:H162)))</f>
        <v/>
      </c>
      <c r="C167" s="155" t="str">
        <f>IF(B167="","",$O$2)</f>
        <v/>
      </c>
      <c r="D167" s="155" t="str">
        <f>IF(C167="","",1)</f>
        <v/>
      </c>
      <c r="E167" s="157" t="str">
        <f t="shared" ref="E167:E170" si="88">IF(OR(A167="",B167="",C167=""),"",IF(A167="定例積立",CONCATENATE(B167,"/",C167,"/","25"),IF(AND(A167="手当積立",C167=6),CONCATENATE(B167,"/",SUM(C167,1),"/","5"),IF(AND(A167="手当積立",C167=12),CONCATENATE(B167,"/",C167,"/","15"),CONCATENATE(B167,"/",C167,"/",D167)))))</f>
        <v/>
      </c>
      <c r="F167" s="158" t="str">
        <f>IF(Q162=0,"",Q162)</f>
        <v/>
      </c>
      <c r="G167" s="158" t="str">
        <f>IF(A167="","",F167)</f>
        <v/>
      </c>
      <c r="H167" s="131" t="str">
        <f>IF(B167="","",EOMONTH(LOOKUP(2,1/(H148:H162&lt;&gt;""),H148:H162),12))</f>
        <v/>
      </c>
      <c r="I167" s="132" t="str">
        <f>IF(E167="","",SUM((H167-E167),1))</f>
        <v/>
      </c>
      <c r="J167" s="133" t="str">
        <f>IF(A167="","",H167-DATEVALUE(CONCATENATE(SUM(YEAR(H167),-1),"/3/31")))</f>
        <v/>
      </c>
      <c r="K167" s="134">
        <f>IF(ISERROR(ROUNDDOWN(G167/100,0)*100),0,ROUNDDOWN(G167/100,0)*100)</f>
        <v>0</v>
      </c>
      <c r="L167" s="135">
        <f t="shared" ref="L167:L181" si="89">IFERROR(ROUNDDOWN(K167*I167/J167,0),0)</f>
        <v>0</v>
      </c>
      <c r="M167" s="117"/>
      <c r="N167" s="116"/>
      <c r="O167" s="117"/>
      <c r="P167" s="111"/>
      <c r="Q167" s="161" t="s">
        <v>57</v>
      </c>
      <c r="R167" s="162"/>
    </row>
    <row r="168" spans="1:18" ht="18" customHeight="1">
      <c r="A168" s="155" t="str">
        <f>IF(B168="","",$M$3)</f>
        <v/>
      </c>
      <c r="B168" s="155" t="str">
        <f>B167</f>
        <v/>
      </c>
      <c r="C168" s="155" t="str">
        <f>IF(C167="","",$O$2)</f>
        <v/>
      </c>
      <c r="D168" s="153"/>
      <c r="E168" s="157" t="str">
        <f t="shared" si="88"/>
        <v/>
      </c>
      <c r="F168" s="158" t="str">
        <f>IF(ISERROR(VLOOKUP(A168,$B$10:$E$11,4,FALSE)),"",VLOOKUP(A168,$B$10:$E$11,4,FALSE))</f>
        <v/>
      </c>
      <c r="G168" s="158" t="str">
        <f t="shared" ref="G168:G181" si="90">IF(A168="","",F168)</f>
        <v/>
      </c>
      <c r="H168" s="131" t="str">
        <f>IF(B167="","",EOMONTH(LOOKUP(2,1/(H148:H162&lt;&gt;""),H148:H162),12))</f>
        <v/>
      </c>
      <c r="I168" s="132" t="str">
        <f t="shared" ref="I168:I181" si="91">IF(E168="","",SUM((H168-E168),1))</f>
        <v/>
      </c>
      <c r="J168" s="133" t="str">
        <f t="shared" ref="J168:J181" si="92">IF(A168="","",H168-DATEVALUE(CONCATENATE(SUM(YEAR(H168),-1),"/3/31")))</f>
        <v/>
      </c>
      <c r="K168" s="134">
        <f t="shared" ref="K168:K181" si="93">IF(ISERROR(ROUNDDOWN(G168/100,0)*100),0,ROUNDDOWN(G168/100,0)*100)</f>
        <v>0</v>
      </c>
      <c r="L168" s="135">
        <f t="shared" si="89"/>
        <v>0</v>
      </c>
      <c r="M168" s="117"/>
      <c r="N168" s="116"/>
      <c r="O168" s="117"/>
      <c r="P168" s="111"/>
      <c r="Q168" s="180">
        <v>0.15315000000000001</v>
      </c>
      <c r="R168" s="181"/>
    </row>
    <row r="169" spans="1:18" ht="18" customHeight="1">
      <c r="A169" s="155" t="str">
        <f t="shared" ref="A169:A170" si="94">IF(B169="","",$M$3)</f>
        <v/>
      </c>
      <c r="B169" s="155" t="str">
        <f>B167</f>
        <v/>
      </c>
      <c r="C169" s="155" t="str">
        <f>IF(C167="","",$O$3)</f>
        <v/>
      </c>
      <c r="D169" s="153"/>
      <c r="E169" s="157" t="str">
        <f t="shared" si="88"/>
        <v/>
      </c>
      <c r="F169" s="158" t="str">
        <f t="shared" ref="F169:F181" si="95">IF(ISERROR(VLOOKUP(A169,$B$10:$E$11,4,FALSE)),"",VLOOKUP(A169,$B$10:$E$11,4,FALSE))</f>
        <v/>
      </c>
      <c r="G169" s="158" t="str">
        <f t="shared" si="90"/>
        <v/>
      </c>
      <c r="H169" s="131" t="str">
        <f>IF(B167="","",EOMONTH(LOOKUP(2,1/(H148:H162&lt;&gt;""),H148:H162),12))</f>
        <v/>
      </c>
      <c r="I169" s="132" t="str">
        <f t="shared" si="91"/>
        <v/>
      </c>
      <c r="J169" s="133" t="str">
        <f t="shared" si="92"/>
        <v/>
      </c>
      <c r="K169" s="134">
        <f t="shared" si="93"/>
        <v>0</v>
      </c>
      <c r="L169" s="135">
        <f t="shared" si="89"/>
        <v>0</v>
      </c>
      <c r="M169" s="117"/>
      <c r="N169" s="116"/>
      <c r="O169" s="117"/>
      <c r="P169" s="111"/>
    </row>
    <row r="170" spans="1:18" ht="18" customHeight="1">
      <c r="A170" s="155" t="str">
        <f t="shared" si="94"/>
        <v/>
      </c>
      <c r="B170" s="155" t="str">
        <f>B167</f>
        <v/>
      </c>
      <c r="C170" s="155" t="str">
        <f>IF(C167="","",$O$4)</f>
        <v/>
      </c>
      <c r="D170" s="153"/>
      <c r="E170" s="157" t="str">
        <f t="shared" si="88"/>
        <v/>
      </c>
      <c r="F170" s="158" t="str">
        <f t="shared" si="95"/>
        <v/>
      </c>
      <c r="G170" s="158" t="str">
        <f t="shared" si="90"/>
        <v/>
      </c>
      <c r="H170" s="131" t="str">
        <f>IF(B167="","",EOMONTH(LOOKUP(2,1/(H148:H162&lt;&gt;""),H148:H162),12))</f>
        <v/>
      </c>
      <c r="I170" s="132" t="str">
        <f t="shared" si="91"/>
        <v/>
      </c>
      <c r="J170" s="133" t="str">
        <f t="shared" si="92"/>
        <v/>
      </c>
      <c r="K170" s="134">
        <f t="shared" si="93"/>
        <v>0</v>
      </c>
      <c r="L170" s="135">
        <f t="shared" si="89"/>
        <v>0</v>
      </c>
      <c r="M170" s="117"/>
      <c r="N170" s="116"/>
      <c r="O170" s="117"/>
      <c r="P170" s="111"/>
      <c r="Q170" s="163" t="s">
        <v>13</v>
      </c>
      <c r="R170" s="182">
        <v>0.05</v>
      </c>
    </row>
    <row r="171" spans="1:18" ht="18" customHeight="1">
      <c r="A171" s="155" t="str">
        <f>IF(B171="","",$M$4)</f>
        <v/>
      </c>
      <c r="B171" s="155" t="str">
        <f>B167</f>
        <v/>
      </c>
      <c r="C171" s="155" t="str">
        <f>IF(C167="","",$O$4)</f>
        <v/>
      </c>
      <c r="D171" s="153"/>
      <c r="E171" s="157" t="str">
        <f>IF(OR(A171="",B171="",C171=""),"",IF(A171="定例積立",CONCATENATE(B171,"/",C171,"/","25"),IF(AND(A171="手当積立",C171=6),CONCATENATE(B171,"/",SUM(C171,1),"/","5"),IF(AND(A171="手当積立",C171=12),CONCATENATE(B171,"/",C171,"/","15"),CONCATENATE(B171,"/",C171,"/",D171)))))</f>
        <v/>
      </c>
      <c r="F171" s="158" t="str">
        <f t="shared" si="95"/>
        <v/>
      </c>
      <c r="G171" s="158" t="str">
        <f t="shared" si="90"/>
        <v/>
      </c>
      <c r="H171" s="131" t="str">
        <f>IF(B167="","",EOMONTH(LOOKUP(2,1/(H148:H162&lt;&gt;""),H148:H162),12))</f>
        <v/>
      </c>
      <c r="I171" s="132" t="str">
        <f t="shared" si="91"/>
        <v/>
      </c>
      <c r="J171" s="133" t="str">
        <f t="shared" si="92"/>
        <v/>
      </c>
      <c r="K171" s="134">
        <f t="shared" si="93"/>
        <v>0</v>
      </c>
      <c r="L171" s="135">
        <f t="shared" si="89"/>
        <v>0</v>
      </c>
      <c r="M171" s="117"/>
      <c r="N171" s="116"/>
      <c r="O171" s="117"/>
      <c r="P171" s="111"/>
    </row>
    <row r="172" spans="1:18" ht="18" customHeight="1">
      <c r="A172" s="155" t="str">
        <f t="shared" ref="A172:A176" si="96">IF(B172="","",$M$3)</f>
        <v/>
      </c>
      <c r="B172" s="155" t="str">
        <f>B167</f>
        <v/>
      </c>
      <c r="C172" s="155" t="str">
        <f>IF(C167="","",$O$5)</f>
        <v/>
      </c>
      <c r="D172" s="153"/>
      <c r="E172" s="157" t="str">
        <f t="shared" ref="E172:E181" si="97">IF(OR(A172="",B172="",C172=""),"",IF(A172="定例積立",CONCATENATE(B172,"/",C172,"/","25"),IF(AND(A172="手当積立",C172=6),CONCATENATE(B172,"/",SUM(C172,1),"/","5"),IF(AND(A172="手当積立",C172=12),CONCATENATE(B172,"/",C172,"/","15"),CONCATENATE(B172,"/",C172,"/",D172)))))</f>
        <v/>
      </c>
      <c r="F172" s="158" t="str">
        <f t="shared" si="95"/>
        <v/>
      </c>
      <c r="G172" s="158" t="str">
        <f t="shared" si="90"/>
        <v/>
      </c>
      <c r="H172" s="131" t="str">
        <f>IF(B167="","",EOMONTH(LOOKUP(2,1/(H148:H162&lt;&gt;""),H148:H162),12))</f>
        <v/>
      </c>
      <c r="I172" s="132" t="str">
        <f t="shared" si="91"/>
        <v/>
      </c>
      <c r="J172" s="133" t="str">
        <f t="shared" si="92"/>
        <v/>
      </c>
      <c r="K172" s="134">
        <f t="shared" si="93"/>
        <v>0</v>
      </c>
      <c r="L172" s="135">
        <f t="shared" si="89"/>
        <v>0</v>
      </c>
      <c r="M172" s="117"/>
      <c r="N172" s="116"/>
      <c r="O172" s="117"/>
      <c r="P172" s="111"/>
      <c r="Q172" s="164" t="s">
        <v>81</v>
      </c>
      <c r="R172" s="165"/>
    </row>
    <row r="173" spans="1:18" ht="18" customHeight="1">
      <c r="A173" s="155" t="str">
        <f t="shared" si="96"/>
        <v/>
      </c>
      <c r="B173" s="155" t="str">
        <f>B167</f>
        <v/>
      </c>
      <c r="C173" s="155" t="str">
        <f>IF(C167="","",$O$6)</f>
        <v/>
      </c>
      <c r="D173" s="153"/>
      <c r="E173" s="157" t="str">
        <f t="shared" si="97"/>
        <v/>
      </c>
      <c r="F173" s="158" t="str">
        <f t="shared" si="95"/>
        <v/>
      </c>
      <c r="G173" s="158" t="str">
        <f t="shared" si="90"/>
        <v/>
      </c>
      <c r="H173" s="131" t="str">
        <f>IF(B167="","",EOMONTH(LOOKUP(2,1/(H148:H162&lt;&gt;""),H148:H162),12))</f>
        <v/>
      </c>
      <c r="I173" s="132" t="str">
        <f t="shared" si="91"/>
        <v/>
      </c>
      <c r="J173" s="133" t="str">
        <f t="shared" si="92"/>
        <v/>
      </c>
      <c r="K173" s="134">
        <f t="shared" si="93"/>
        <v>0</v>
      </c>
      <c r="L173" s="135">
        <f t="shared" si="89"/>
        <v>0</v>
      </c>
      <c r="M173" s="117"/>
      <c r="N173" s="116"/>
      <c r="O173" s="117"/>
      <c r="P173" s="111"/>
      <c r="Q173" s="166" t="s">
        <v>11</v>
      </c>
      <c r="R173" s="167">
        <f>ROUNDDOWN(L182*R165,0)</f>
        <v>0</v>
      </c>
    </row>
    <row r="174" spans="1:18" ht="18" customHeight="1">
      <c r="A174" s="155" t="str">
        <f t="shared" si="96"/>
        <v/>
      </c>
      <c r="B174" s="155" t="str">
        <f>B167</f>
        <v/>
      </c>
      <c r="C174" s="155" t="str">
        <f>IF(C167="","",$O$7)</f>
        <v/>
      </c>
      <c r="D174" s="153"/>
      <c r="E174" s="157" t="str">
        <f t="shared" si="97"/>
        <v/>
      </c>
      <c r="F174" s="158" t="str">
        <f t="shared" si="95"/>
        <v/>
      </c>
      <c r="G174" s="158" t="str">
        <f t="shared" si="90"/>
        <v/>
      </c>
      <c r="H174" s="131" t="str">
        <f>IF(B167="","",EOMONTH(LOOKUP(2,1/(H148:H162&lt;&gt;""),H148:H162),12))</f>
        <v/>
      </c>
      <c r="I174" s="132" t="str">
        <f t="shared" si="91"/>
        <v/>
      </c>
      <c r="J174" s="133" t="str">
        <f t="shared" si="92"/>
        <v/>
      </c>
      <c r="K174" s="134">
        <f t="shared" si="93"/>
        <v>0</v>
      </c>
      <c r="L174" s="135">
        <f t="shared" si="89"/>
        <v>0</v>
      </c>
      <c r="M174" s="117"/>
      <c r="N174" s="116"/>
      <c r="O174" s="117"/>
      <c r="P174" s="111"/>
      <c r="Q174" s="166" t="s">
        <v>12</v>
      </c>
      <c r="R174" s="168">
        <f>ROUNDDOWN(R173*Q168,0)</f>
        <v>0</v>
      </c>
    </row>
    <row r="175" spans="1:18" ht="18" customHeight="1">
      <c r="A175" s="155" t="str">
        <f t="shared" si="96"/>
        <v/>
      </c>
      <c r="B175" s="155" t="str">
        <f>B167</f>
        <v/>
      </c>
      <c r="C175" s="155" t="str">
        <f>IF(C167="","",$O$8)</f>
        <v/>
      </c>
      <c r="D175" s="153"/>
      <c r="E175" s="157" t="str">
        <f t="shared" si="97"/>
        <v/>
      </c>
      <c r="F175" s="158" t="str">
        <f t="shared" si="95"/>
        <v/>
      </c>
      <c r="G175" s="158" t="str">
        <f t="shared" si="90"/>
        <v/>
      </c>
      <c r="H175" s="131" t="str">
        <f>IF(B167="","",EOMONTH(LOOKUP(2,1/(H148:H162&lt;&gt;""),H148:H162),12))</f>
        <v/>
      </c>
      <c r="I175" s="132" t="str">
        <f t="shared" si="91"/>
        <v/>
      </c>
      <c r="J175" s="133" t="str">
        <f t="shared" si="92"/>
        <v/>
      </c>
      <c r="K175" s="134">
        <f t="shared" si="93"/>
        <v>0</v>
      </c>
      <c r="L175" s="135">
        <f t="shared" si="89"/>
        <v>0</v>
      </c>
      <c r="M175" s="117"/>
      <c r="N175" s="116"/>
      <c r="O175" s="117"/>
      <c r="P175" s="111"/>
      <c r="Q175" s="169" t="s">
        <v>13</v>
      </c>
      <c r="R175" s="167">
        <f>ROUNDDOWN(R173*R170,0)</f>
        <v>0</v>
      </c>
    </row>
    <row r="176" spans="1:18" ht="18" customHeight="1">
      <c r="A176" s="155" t="str">
        <f t="shared" si="96"/>
        <v/>
      </c>
      <c r="B176" s="155" t="str">
        <f>B167</f>
        <v/>
      </c>
      <c r="C176" s="155" t="str">
        <f>IF(C167="","",$O$9)</f>
        <v/>
      </c>
      <c r="D176" s="153"/>
      <c r="E176" s="157" t="str">
        <f t="shared" si="97"/>
        <v/>
      </c>
      <c r="F176" s="158" t="str">
        <f t="shared" si="95"/>
        <v/>
      </c>
      <c r="G176" s="158" t="str">
        <f t="shared" si="90"/>
        <v/>
      </c>
      <c r="H176" s="131" t="str">
        <f>IF(B167="","",EOMONTH(LOOKUP(2,1/(H148:H162&lt;&gt;""),H148:H162),12))</f>
        <v/>
      </c>
      <c r="I176" s="132" t="str">
        <f t="shared" si="91"/>
        <v/>
      </c>
      <c r="J176" s="133" t="str">
        <f t="shared" si="92"/>
        <v/>
      </c>
      <c r="K176" s="134">
        <f t="shared" si="93"/>
        <v>0</v>
      </c>
      <c r="L176" s="135">
        <f t="shared" si="89"/>
        <v>0</v>
      </c>
      <c r="M176" s="117"/>
      <c r="N176" s="116"/>
      <c r="O176" s="117"/>
      <c r="P176" s="111"/>
      <c r="Q176" s="170" t="s">
        <v>82</v>
      </c>
      <c r="R176" s="171">
        <f>SUM(R174:R175)</f>
        <v>0</v>
      </c>
    </row>
    <row r="177" spans="1:18" ht="18" customHeight="1">
      <c r="A177" s="155" t="str">
        <f>IF(B177="","",$M$4)</f>
        <v/>
      </c>
      <c r="B177" s="155" t="str">
        <f>B167</f>
        <v/>
      </c>
      <c r="C177" s="155" t="str">
        <f>IF(C167="","",$O$10)</f>
        <v/>
      </c>
      <c r="D177" s="153"/>
      <c r="E177" s="157" t="str">
        <f t="shared" si="97"/>
        <v/>
      </c>
      <c r="F177" s="158" t="str">
        <f t="shared" si="95"/>
        <v/>
      </c>
      <c r="G177" s="158" t="str">
        <f t="shared" si="90"/>
        <v/>
      </c>
      <c r="H177" s="131" t="str">
        <f>IF(B167="","",EOMONTH(LOOKUP(2,1/(H148:H162&lt;&gt;""),H148:H162),12))</f>
        <v/>
      </c>
      <c r="I177" s="132" t="str">
        <f t="shared" si="91"/>
        <v/>
      </c>
      <c r="J177" s="133" t="str">
        <f t="shared" si="92"/>
        <v/>
      </c>
      <c r="K177" s="134">
        <f t="shared" si="93"/>
        <v>0</v>
      </c>
      <c r="L177" s="135">
        <f t="shared" si="89"/>
        <v>0</v>
      </c>
      <c r="M177" s="117"/>
      <c r="N177" s="116"/>
      <c r="O177" s="117"/>
      <c r="P177" s="111"/>
      <c r="Q177" s="172" t="s">
        <v>58</v>
      </c>
      <c r="R177" s="173">
        <f>R173-R176</f>
        <v>0</v>
      </c>
    </row>
    <row r="178" spans="1:18" ht="18" customHeight="1">
      <c r="A178" s="155" t="str">
        <f t="shared" ref="A178:A181" si="98">IF(B178="","",$M$3)</f>
        <v/>
      </c>
      <c r="B178" s="155" t="str">
        <f>B167</f>
        <v/>
      </c>
      <c r="C178" s="155" t="str">
        <f>IF(C167="","",$O$10)</f>
        <v/>
      </c>
      <c r="D178" s="153"/>
      <c r="E178" s="157" t="str">
        <f t="shared" si="97"/>
        <v/>
      </c>
      <c r="F178" s="158" t="str">
        <f t="shared" si="95"/>
        <v/>
      </c>
      <c r="G178" s="158" t="str">
        <f t="shared" si="90"/>
        <v/>
      </c>
      <c r="H178" s="131" t="str">
        <f>IF(B167="","",EOMONTH(LOOKUP(2,1/(H148:H162&lt;&gt;""),H148:H162),12))</f>
        <v/>
      </c>
      <c r="I178" s="132" t="str">
        <f t="shared" si="91"/>
        <v/>
      </c>
      <c r="J178" s="133" t="str">
        <f t="shared" si="92"/>
        <v/>
      </c>
      <c r="K178" s="134">
        <f t="shared" si="93"/>
        <v>0</v>
      </c>
      <c r="L178" s="135">
        <f t="shared" si="89"/>
        <v>0</v>
      </c>
      <c r="M178" s="117"/>
      <c r="N178" s="116"/>
      <c r="O178" s="117"/>
      <c r="P178" s="111"/>
    </row>
    <row r="179" spans="1:18" ht="18" customHeight="1" thickBot="1">
      <c r="A179" s="155" t="str">
        <f t="shared" si="98"/>
        <v/>
      </c>
      <c r="B179" s="155" t="str">
        <f>IF(B167="","",SUM(B167,1))</f>
        <v/>
      </c>
      <c r="C179" s="155" t="str">
        <f>IF(C167="","",$O$11)</f>
        <v/>
      </c>
      <c r="D179" s="153"/>
      <c r="E179" s="157" t="str">
        <f t="shared" si="97"/>
        <v/>
      </c>
      <c r="F179" s="158" t="str">
        <f t="shared" si="95"/>
        <v/>
      </c>
      <c r="G179" s="158" t="str">
        <f t="shared" si="90"/>
        <v/>
      </c>
      <c r="H179" s="131" t="str">
        <f>IF(B167="","",EOMONTH(LOOKUP(2,1/(H148:H162&lt;&gt;""),H148:H162),12))</f>
        <v/>
      </c>
      <c r="I179" s="132" t="str">
        <f t="shared" si="91"/>
        <v/>
      </c>
      <c r="J179" s="133" t="str">
        <f t="shared" si="92"/>
        <v/>
      </c>
      <c r="K179" s="134">
        <f t="shared" si="93"/>
        <v>0</v>
      </c>
      <c r="L179" s="135">
        <f t="shared" si="89"/>
        <v>0</v>
      </c>
      <c r="M179" s="117"/>
      <c r="N179" s="116"/>
      <c r="O179" s="117"/>
      <c r="P179" s="111"/>
    </row>
    <row r="180" spans="1:18" ht="18" customHeight="1" thickTop="1">
      <c r="A180" s="155" t="str">
        <f t="shared" si="98"/>
        <v/>
      </c>
      <c r="B180" s="155" t="str">
        <f>IF(B167="","",B179)</f>
        <v/>
      </c>
      <c r="C180" s="155" t="str">
        <f>IF(C167="","",$O$12)</f>
        <v/>
      </c>
      <c r="D180" s="153"/>
      <c r="E180" s="157" t="str">
        <f t="shared" si="97"/>
        <v/>
      </c>
      <c r="F180" s="158" t="str">
        <f t="shared" si="95"/>
        <v/>
      </c>
      <c r="G180" s="158" t="str">
        <f t="shared" si="90"/>
        <v/>
      </c>
      <c r="H180" s="131" t="str">
        <f>IF(B167="","",EOMONTH(LOOKUP(2,1/(H148:H162&lt;&gt;""),H148:H162),12))</f>
        <v/>
      </c>
      <c r="I180" s="132" t="str">
        <f t="shared" si="91"/>
        <v/>
      </c>
      <c r="J180" s="133" t="str">
        <f t="shared" si="92"/>
        <v/>
      </c>
      <c r="K180" s="134">
        <f t="shared" si="93"/>
        <v>0</v>
      </c>
      <c r="L180" s="135">
        <f t="shared" si="89"/>
        <v>0</v>
      </c>
      <c r="M180" s="117"/>
      <c r="N180" s="116"/>
      <c r="O180" s="117"/>
      <c r="P180" s="111"/>
      <c r="Q180" s="174" t="s">
        <v>80</v>
      </c>
      <c r="R180" s="175"/>
    </row>
    <row r="181" spans="1:18" ht="18" customHeight="1" thickBot="1">
      <c r="A181" s="155" t="str">
        <f t="shared" si="98"/>
        <v/>
      </c>
      <c r="B181" s="155" t="str">
        <f>IF(B167="","",B179)</f>
        <v/>
      </c>
      <c r="C181" s="155" t="str">
        <f>IF(C167="","",$O$13)</f>
        <v/>
      </c>
      <c r="D181" s="153"/>
      <c r="E181" s="157" t="str">
        <f t="shared" si="97"/>
        <v/>
      </c>
      <c r="F181" s="158" t="str">
        <f t="shared" si="95"/>
        <v/>
      </c>
      <c r="G181" s="158" t="str">
        <f t="shared" si="90"/>
        <v/>
      </c>
      <c r="H181" s="131" t="str">
        <f>IF(B167="","",EOMONTH(LOOKUP(2,1/(H148:H162&lt;&gt;""),H148:H162),12))</f>
        <v/>
      </c>
      <c r="I181" s="132" t="str">
        <f t="shared" si="91"/>
        <v/>
      </c>
      <c r="J181" s="133" t="str">
        <f t="shared" si="92"/>
        <v/>
      </c>
      <c r="K181" s="134">
        <f t="shared" si="93"/>
        <v>0</v>
      </c>
      <c r="L181" s="135">
        <f t="shared" si="89"/>
        <v>0</v>
      </c>
      <c r="M181" s="117"/>
      <c r="N181" s="116"/>
      <c r="O181" s="117"/>
      <c r="P181" s="111"/>
      <c r="Q181" s="176" t="str">
        <f>IF(F167="","",SUM(G182,R177))</f>
        <v/>
      </c>
      <c r="R181" s="177"/>
    </row>
    <row r="182" spans="1:18" ht="18" customHeight="1" thickTop="1">
      <c r="E182" s="138"/>
      <c r="F182" s="159" t="s">
        <v>79</v>
      </c>
      <c r="G182" s="160">
        <f>SUM(G167:G181)</f>
        <v>0</v>
      </c>
      <c r="H182" s="138"/>
      <c r="I182" s="141"/>
      <c r="J182" s="141"/>
      <c r="K182" s="142"/>
      <c r="L182" s="135">
        <f>SUM(L167:L181)</f>
        <v>0</v>
      </c>
      <c r="M182" s="117"/>
      <c r="N182" s="116"/>
      <c r="O182" s="117"/>
      <c r="P182" s="111"/>
    </row>
    <row r="183" spans="1:18" ht="18" customHeight="1">
      <c r="A183" s="111" t="s">
        <v>89</v>
      </c>
      <c r="M183" s="117"/>
      <c r="N183" s="116"/>
      <c r="O183" s="117"/>
    </row>
    <row r="184" spans="1:18" ht="18" customHeight="1">
      <c r="A184" s="150" t="s">
        <v>66</v>
      </c>
      <c r="B184" s="150" t="s">
        <v>56</v>
      </c>
      <c r="C184" s="150"/>
      <c r="D184" s="150"/>
      <c r="E184" s="150" t="s">
        <v>65</v>
      </c>
      <c r="F184" s="151" t="s">
        <v>77</v>
      </c>
      <c r="G184" s="152" t="s">
        <v>78</v>
      </c>
      <c r="H184" s="118" t="s">
        <v>7</v>
      </c>
      <c r="I184" s="118" t="s">
        <v>8</v>
      </c>
      <c r="J184" s="118" t="s">
        <v>9</v>
      </c>
      <c r="K184" s="123" t="s">
        <v>10</v>
      </c>
      <c r="L184" s="124" t="s">
        <v>55</v>
      </c>
      <c r="M184" s="119"/>
      <c r="N184" s="116"/>
      <c r="O184" s="117"/>
      <c r="Q184" s="153" t="s">
        <v>50</v>
      </c>
      <c r="R184" s="179">
        <v>1.4999999999999999E-2</v>
      </c>
    </row>
    <row r="185" spans="1:18" ht="18" customHeight="1">
      <c r="A185" s="150"/>
      <c r="B185" s="153" t="s">
        <v>52</v>
      </c>
      <c r="C185" s="153" t="s">
        <v>53</v>
      </c>
      <c r="D185" s="153" t="s">
        <v>54</v>
      </c>
      <c r="E185" s="150"/>
      <c r="F185" s="154"/>
      <c r="G185" s="152"/>
      <c r="H185" s="118"/>
      <c r="I185" s="118"/>
      <c r="J185" s="118"/>
      <c r="K185" s="123"/>
      <c r="L185" s="124"/>
      <c r="M185" s="115"/>
      <c r="N185" s="116"/>
      <c r="O185" s="117"/>
      <c r="P185" s="111"/>
    </row>
    <row r="186" spans="1:18" ht="18" customHeight="1">
      <c r="A186" s="155" t="str">
        <f>IF(B186="","",$M$2)</f>
        <v/>
      </c>
      <c r="B186" s="155" t="str">
        <f>IF(B167="","",YEAR(LOOKUP(2,1/(H167:H181&lt;&gt;""),H167:H181)))</f>
        <v/>
      </c>
      <c r="C186" s="155" t="str">
        <f>IF(B186="","",$O$2)</f>
        <v/>
      </c>
      <c r="D186" s="155" t="str">
        <f>IF(C186="","",1)</f>
        <v/>
      </c>
      <c r="E186" s="157" t="str">
        <f t="shared" ref="E186:E189" si="99">IF(OR(A186="",B186="",C186=""),"",IF(A186="定例積立",CONCATENATE(B186,"/",C186,"/","25"),IF(AND(A186="手当積立",C186=6),CONCATENATE(B186,"/",SUM(C186,1),"/","5"),IF(AND(A186="手当積立",C186=12),CONCATENATE(B186,"/",C186,"/","15"),CONCATENATE(B186,"/",C186,"/",D186)))))</f>
        <v/>
      </c>
      <c r="F186" s="158" t="str">
        <f>IF(Q181=0,"",Q181)</f>
        <v/>
      </c>
      <c r="G186" s="158" t="str">
        <f>IF(A186="","",F186)</f>
        <v/>
      </c>
      <c r="H186" s="131" t="str">
        <f>IF(B186="","",EOMONTH(LOOKUP(2,1/(H167:H181&lt;&gt;""),H167:H181),12))</f>
        <v/>
      </c>
      <c r="I186" s="132" t="str">
        <f>IF(E186="","",SUM((H186-E186),1))</f>
        <v/>
      </c>
      <c r="J186" s="133" t="str">
        <f>IF(A186="","",H186-DATEVALUE(CONCATENATE(SUM(YEAR(H186),-1),"/3/31")))</f>
        <v/>
      </c>
      <c r="K186" s="134">
        <f>IF(ISERROR(ROUNDDOWN(G186/100,0)*100),0,ROUNDDOWN(G186/100,0)*100)</f>
        <v>0</v>
      </c>
      <c r="L186" s="135">
        <f t="shared" ref="L186:L200" si="100">IFERROR(ROUNDDOWN(K186*I186/J186,0),0)</f>
        <v>0</v>
      </c>
      <c r="M186" s="117"/>
      <c r="N186" s="116"/>
      <c r="O186" s="117"/>
      <c r="P186" s="111"/>
      <c r="Q186" s="161" t="s">
        <v>57</v>
      </c>
      <c r="R186" s="162"/>
    </row>
    <row r="187" spans="1:18" ht="18" customHeight="1">
      <c r="A187" s="155" t="str">
        <f>IF(B187="","",$M$3)</f>
        <v/>
      </c>
      <c r="B187" s="155" t="str">
        <f>B186</f>
        <v/>
      </c>
      <c r="C187" s="155" t="str">
        <f>IF(C186="","",$O$2)</f>
        <v/>
      </c>
      <c r="D187" s="153"/>
      <c r="E187" s="157" t="str">
        <f t="shared" si="99"/>
        <v/>
      </c>
      <c r="F187" s="158" t="str">
        <f>IF(ISERROR(VLOOKUP(A187,$B$10:$E$11,4,FALSE)),"",VLOOKUP(A187,$B$10:$E$11,4,FALSE))</f>
        <v/>
      </c>
      <c r="G187" s="158" t="str">
        <f t="shared" ref="G187:G200" si="101">IF(A187="","",F187)</f>
        <v/>
      </c>
      <c r="H187" s="131" t="str">
        <f>IF(B186="","",EOMONTH(LOOKUP(2,1/(H167:H181&lt;&gt;""),H167:H181),12))</f>
        <v/>
      </c>
      <c r="I187" s="132" t="str">
        <f t="shared" ref="I187:I200" si="102">IF(E187="","",SUM((H187-E187),1))</f>
        <v/>
      </c>
      <c r="J187" s="133" t="str">
        <f t="shared" ref="J187:J200" si="103">IF(A187="","",H187-DATEVALUE(CONCATENATE(SUM(YEAR(H187),-1),"/3/31")))</f>
        <v/>
      </c>
      <c r="K187" s="134">
        <f t="shared" ref="K187:K200" si="104">IF(ISERROR(ROUNDDOWN(G187/100,0)*100),0,ROUNDDOWN(G187/100,0)*100)</f>
        <v>0</v>
      </c>
      <c r="L187" s="135">
        <f t="shared" si="100"/>
        <v>0</v>
      </c>
      <c r="M187" s="117"/>
      <c r="N187" s="116"/>
      <c r="O187" s="117"/>
      <c r="P187" s="111"/>
      <c r="Q187" s="180">
        <v>0.15315000000000001</v>
      </c>
      <c r="R187" s="181"/>
    </row>
    <row r="188" spans="1:18" ht="18" customHeight="1">
      <c r="A188" s="155" t="str">
        <f t="shared" ref="A188:A189" si="105">IF(B188="","",$M$3)</f>
        <v/>
      </c>
      <c r="B188" s="155" t="str">
        <f>B186</f>
        <v/>
      </c>
      <c r="C188" s="155" t="str">
        <f>IF(C186="","",$O$3)</f>
        <v/>
      </c>
      <c r="D188" s="153"/>
      <c r="E188" s="157" t="str">
        <f t="shared" si="99"/>
        <v/>
      </c>
      <c r="F188" s="158" t="str">
        <f t="shared" ref="F188:F200" si="106">IF(ISERROR(VLOOKUP(A188,$B$10:$E$11,4,FALSE)),"",VLOOKUP(A188,$B$10:$E$11,4,FALSE))</f>
        <v/>
      </c>
      <c r="G188" s="158" t="str">
        <f t="shared" si="101"/>
        <v/>
      </c>
      <c r="H188" s="131" t="str">
        <f>IF(B186="","",EOMONTH(LOOKUP(2,1/(H167:H181&lt;&gt;""),H167:H181),12))</f>
        <v/>
      </c>
      <c r="I188" s="132" t="str">
        <f t="shared" si="102"/>
        <v/>
      </c>
      <c r="J188" s="133" t="str">
        <f t="shared" si="103"/>
        <v/>
      </c>
      <c r="K188" s="134">
        <f t="shared" si="104"/>
        <v>0</v>
      </c>
      <c r="L188" s="135">
        <f t="shared" si="100"/>
        <v>0</v>
      </c>
      <c r="M188" s="117"/>
      <c r="N188" s="116"/>
      <c r="O188" s="117"/>
      <c r="P188" s="111"/>
    </row>
    <row r="189" spans="1:18" ht="18" customHeight="1">
      <c r="A189" s="155" t="str">
        <f t="shared" si="105"/>
        <v/>
      </c>
      <c r="B189" s="155" t="str">
        <f>B186</f>
        <v/>
      </c>
      <c r="C189" s="155" t="str">
        <f>IF(C186="","",$O$4)</f>
        <v/>
      </c>
      <c r="D189" s="153"/>
      <c r="E189" s="157" t="str">
        <f t="shared" si="99"/>
        <v/>
      </c>
      <c r="F189" s="158" t="str">
        <f t="shared" si="106"/>
        <v/>
      </c>
      <c r="G189" s="158" t="str">
        <f t="shared" si="101"/>
        <v/>
      </c>
      <c r="H189" s="131" t="str">
        <f>IF(B186="","",EOMONTH(LOOKUP(2,1/(H167:H181&lt;&gt;""),H167:H181),12))</f>
        <v/>
      </c>
      <c r="I189" s="132" t="str">
        <f t="shared" si="102"/>
        <v/>
      </c>
      <c r="J189" s="133" t="str">
        <f t="shared" si="103"/>
        <v/>
      </c>
      <c r="K189" s="134">
        <f t="shared" si="104"/>
        <v>0</v>
      </c>
      <c r="L189" s="135">
        <f t="shared" si="100"/>
        <v>0</v>
      </c>
      <c r="M189" s="117"/>
      <c r="N189" s="116"/>
      <c r="O189" s="117"/>
      <c r="P189" s="111"/>
      <c r="Q189" s="163" t="s">
        <v>13</v>
      </c>
      <c r="R189" s="182">
        <v>0.05</v>
      </c>
    </row>
    <row r="190" spans="1:18" ht="18" customHeight="1">
      <c r="A190" s="155" t="str">
        <f>IF(B190="","",$M$4)</f>
        <v/>
      </c>
      <c r="B190" s="155" t="str">
        <f>B186</f>
        <v/>
      </c>
      <c r="C190" s="155" t="str">
        <f>IF(C186="","",$O$4)</f>
        <v/>
      </c>
      <c r="D190" s="153"/>
      <c r="E190" s="157" t="str">
        <f>IF(OR(A190="",B190="",C190=""),"",IF(A190="定例積立",CONCATENATE(B190,"/",C190,"/","25"),IF(AND(A190="手当積立",C190=6),CONCATENATE(B190,"/",SUM(C190,1),"/","5"),IF(AND(A190="手当積立",C190=12),CONCATENATE(B190,"/",C190,"/","15"),CONCATENATE(B190,"/",C190,"/",D190)))))</f>
        <v/>
      </c>
      <c r="F190" s="158" t="str">
        <f t="shared" si="106"/>
        <v/>
      </c>
      <c r="G190" s="158" t="str">
        <f t="shared" si="101"/>
        <v/>
      </c>
      <c r="H190" s="131" t="str">
        <f>IF(B186="","",EOMONTH(LOOKUP(2,1/(H167:H181&lt;&gt;""),H167:H181),12))</f>
        <v/>
      </c>
      <c r="I190" s="132" t="str">
        <f t="shared" si="102"/>
        <v/>
      </c>
      <c r="J190" s="133" t="str">
        <f t="shared" si="103"/>
        <v/>
      </c>
      <c r="K190" s="134">
        <f t="shared" si="104"/>
        <v>0</v>
      </c>
      <c r="L190" s="135">
        <f t="shared" si="100"/>
        <v>0</v>
      </c>
      <c r="M190" s="117"/>
      <c r="N190" s="116"/>
      <c r="O190" s="117"/>
      <c r="P190" s="111"/>
    </row>
    <row r="191" spans="1:18" ht="18" customHeight="1">
      <c r="A191" s="155" t="str">
        <f t="shared" ref="A191:A195" si="107">IF(B191="","",$M$3)</f>
        <v/>
      </c>
      <c r="B191" s="155" t="str">
        <f>B186</f>
        <v/>
      </c>
      <c r="C191" s="155" t="str">
        <f>IF(C186="","",$O$5)</f>
        <v/>
      </c>
      <c r="D191" s="153"/>
      <c r="E191" s="157" t="str">
        <f t="shared" ref="E191:E200" si="108">IF(OR(A191="",B191="",C191=""),"",IF(A191="定例積立",CONCATENATE(B191,"/",C191,"/","25"),IF(AND(A191="手当積立",C191=6),CONCATENATE(B191,"/",SUM(C191,1),"/","5"),IF(AND(A191="手当積立",C191=12),CONCATENATE(B191,"/",C191,"/","15"),CONCATENATE(B191,"/",C191,"/",D191)))))</f>
        <v/>
      </c>
      <c r="F191" s="158" t="str">
        <f t="shared" si="106"/>
        <v/>
      </c>
      <c r="G191" s="158" t="str">
        <f t="shared" si="101"/>
        <v/>
      </c>
      <c r="H191" s="131" t="str">
        <f>IF(B186="","",EOMONTH(LOOKUP(2,1/(H167:H181&lt;&gt;""),H167:H181),12))</f>
        <v/>
      </c>
      <c r="I191" s="132" t="str">
        <f t="shared" si="102"/>
        <v/>
      </c>
      <c r="J191" s="133" t="str">
        <f t="shared" si="103"/>
        <v/>
      </c>
      <c r="K191" s="134">
        <f t="shared" si="104"/>
        <v>0</v>
      </c>
      <c r="L191" s="135">
        <f t="shared" si="100"/>
        <v>0</v>
      </c>
      <c r="M191" s="117"/>
      <c r="N191" s="116"/>
      <c r="O191" s="117"/>
      <c r="P191" s="111"/>
      <c r="Q191" s="164" t="s">
        <v>81</v>
      </c>
      <c r="R191" s="165"/>
    </row>
    <row r="192" spans="1:18" ht="18" customHeight="1">
      <c r="A192" s="155" t="str">
        <f t="shared" si="107"/>
        <v/>
      </c>
      <c r="B192" s="155" t="str">
        <f>B186</f>
        <v/>
      </c>
      <c r="C192" s="155" t="str">
        <f>IF(C186="","",$O$6)</f>
        <v/>
      </c>
      <c r="D192" s="153"/>
      <c r="E192" s="157" t="str">
        <f t="shared" si="108"/>
        <v/>
      </c>
      <c r="F192" s="158" t="str">
        <f t="shared" si="106"/>
        <v/>
      </c>
      <c r="G192" s="158" t="str">
        <f t="shared" si="101"/>
        <v/>
      </c>
      <c r="H192" s="131" t="str">
        <f>IF(B186="","",EOMONTH(LOOKUP(2,1/(H167:H181&lt;&gt;""),H167:H181),12))</f>
        <v/>
      </c>
      <c r="I192" s="132" t="str">
        <f t="shared" si="102"/>
        <v/>
      </c>
      <c r="J192" s="133" t="str">
        <f t="shared" si="103"/>
        <v/>
      </c>
      <c r="K192" s="134">
        <f t="shared" si="104"/>
        <v>0</v>
      </c>
      <c r="L192" s="135">
        <f t="shared" si="100"/>
        <v>0</v>
      </c>
      <c r="M192" s="117"/>
      <c r="N192" s="116"/>
      <c r="O192" s="117"/>
      <c r="P192" s="111"/>
      <c r="Q192" s="166" t="s">
        <v>11</v>
      </c>
      <c r="R192" s="167">
        <f>ROUNDDOWN(L201*R184,0)</f>
        <v>0</v>
      </c>
    </row>
    <row r="193" spans="1:18" ht="18" customHeight="1">
      <c r="A193" s="155" t="str">
        <f t="shared" si="107"/>
        <v/>
      </c>
      <c r="B193" s="155" t="str">
        <f>B186</f>
        <v/>
      </c>
      <c r="C193" s="155" t="str">
        <f>IF(C186="","",$O$7)</f>
        <v/>
      </c>
      <c r="D193" s="153"/>
      <c r="E193" s="157" t="str">
        <f t="shared" si="108"/>
        <v/>
      </c>
      <c r="F193" s="158" t="str">
        <f t="shared" si="106"/>
        <v/>
      </c>
      <c r="G193" s="158" t="str">
        <f t="shared" si="101"/>
        <v/>
      </c>
      <c r="H193" s="131" t="str">
        <f>IF(B186="","",EOMONTH(LOOKUP(2,1/(H167:H181&lt;&gt;""),H167:H181),12))</f>
        <v/>
      </c>
      <c r="I193" s="132" t="str">
        <f t="shared" si="102"/>
        <v/>
      </c>
      <c r="J193" s="133" t="str">
        <f t="shared" si="103"/>
        <v/>
      </c>
      <c r="K193" s="134">
        <f t="shared" si="104"/>
        <v>0</v>
      </c>
      <c r="L193" s="135">
        <f t="shared" si="100"/>
        <v>0</v>
      </c>
      <c r="M193" s="117"/>
      <c r="N193" s="116"/>
      <c r="O193" s="117"/>
      <c r="P193" s="111"/>
      <c r="Q193" s="166" t="s">
        <v>12</v>
      </c>
      <c r="R193" s="168">
        <f>ROUNDDOWN(R192*Q187,0)</f>
        <v>0</v>
      </c>
    </row>
    <row r="194" spans="1:18" ht="18" customHeight="1">
      <c r="A194" s="155" t="str">
        <f t="shared" si="107"/>
        <v/>
      </c>
      <c r="B194" s="155" t="str">
        <f>B186</f>
        <v/>
      </c>
      <c r="C194" s="155" t="str">
        <f>IF(C186="","",$O$8)</f>
        <v/>
      </c>
      <c r="D194" s="153"/>
      <c r="E194" s="157" t="str">
        <f t="shared" si="108"/>
        <v/>
      </c>
      <c r="F194" s="158" t="str">
        <f t="shared" si="106"/>
        <v/>
      </c>
      <c r="G194" s="158" t="str">
        <f t="shared" si="101"/>
        <v/>
      </c>
      <c r="H194" s="131" t="str">
        <f>IF(B186="","",EOMONTH(LOOKUP(2,1/(H167:H181&lt;&gt;""),H167:H181),12))</f>
        <v/>
      </c>
      <c r="I194" s="132" t="str">
        <f t="shared" si="102"/>
        <v/>
      </c>
      <c r="J194" s="133" t="str">
        <f t="shared" si="103"/>
        <v/>
      </c>
      <c r="K194" s="134">
        <f t="shared" si="104"/>
        <v>0</v>
      </c>
      <c r="L194" s="135">
        <f t="shared" si="100"/>
        <v>0</v>
      </c>
      <c r="M194" s="117"/>
      <c r="N194" s="116"/>
      <c r="O194" s="117"/>
      <c r="P194" s="111"/>
      <c r="Q194" s="169" t="s">
        <v>13</v>
      </c>
      <c r="R194" s="167">
        <f>ROUNDDOWN(R192*R189,0)</f>
        <v>0</v>
      </c>
    </row>
    <row r="195" spans="1:18" ht="18" customHeight="1">
      <c r="A195" s="155" t="str">
        <f t="shared" si="107"/>
        <v/>
      </c>
      <c r="B195" s="155" t="str">
        <f>B186</f>
        <v/>
      </c>
      <c r="C195" s="155" t="str">
        <f>IF(C186="","",$O$9)</f>
        <v/>
      </c>
      <c r="D195" s="153"/>
      <c r="E195" s="157" t="str">
        <f t="shared" si="108"/>
        <v/>
      </c>
      <c r="F195" s="158" t="str">
        <f t="shared" si="106"/>
        <v/>
      </c>
      <c r="G195" s="158" t="str">
        <f t="shared" si="101"/>
        <v/>
      </c>
      <c r="H195" s="131" t="str">
        <f>IF(B186="","",EOMONTH(LOOKUP(2,1/(H167:H181&lt;&gt;""),H167:H181),12))</f>
        <v/>
      </c>
      <c r="I195" s="132" t="str">
        <f t="shared" si="102"/>
        <v/>
      </c>
      <c r="J195" s="133" t="str">
        <f t="shared" si="103"/>
        <v/>
      </c>
      <c r="K195" s="134">
        <f t="shared" si="104"/>
        <v>0</v>
      </c>
      <c r="L195" s="135">
        <f t="shared" si="100"/>
        <v>0</v>
      </c>
      <c r="M195" s="117"/>
      <c r="N195" s="116"/>
      <c r="O195" s="117"/>
      <c r="P195" s="111"/>
      <c r="Q195" s="170" t="s">
        <v>82</v>
      </c>
      <c r="R195" s="171">
        <f>SUM(R193:R194)</f>
        <v>0</v>
      </c>
    </row>
    <row r="196" spans="1:18" ht="18" customHeight="1">
      <c r="A196" s="155" t="str">
        <f>IF(B196="","",$M$4)</f>
        <v/>
      </c>
      <c r="B196" s="155" t="str">
        <f>B186</f>
        <v/>
      </c>
      <c r="C196" s="155" t="str">
        <f>IF(C186="","",$O$10)</f>
        <v/>
      </c>
      <c r="D196" s="153"/>
      <c r="E196" s="157" t="str">
        <f t="shared" si="108"/>
        <v/>
      </c>
      <c r="F196" s="158" t="str">
        <f t="shared" si="106"/>
        <v/>
      </c>
      <c r="G196" s="158" t="str">
        <f t="shared" si="101"/>
        <v/>
      </c>
      <c r="H196" s="131" t="str">
        <f>IF(B186="","",EOMONTH(LOOKUP(2,1/(H167:H181&lt;&gt;""),H167:H181),12))</f>
        <v/>
      </c>
      <c r="I196" s="132" t="str">
        <f t="shared" si="102"/>
        <v/>
      </c>
      <c r="J196" s="133" t="str">
        <f t="shared" si="103"/>
        <v/>
      </c>
      <c r="K196" s="134">
        <f t="shared" si="104"/>
        <v>0</v>
      </c>
      <c r="L196" s="135">
        <f t="shared" si="100"/>
        <v>0</v>
      </c>
      <c r="M196" s="117"/>
      <c r="N196" s="116"/>
      <c r="O196" s="117"/>
      <c r="P196" s="111"/>
      <c r="Q196" s="172" t="s">
        <v>58</v>
      </c>
      <c r="R196" s="173">
        <f>R192-R195</f>
        <v>0</v>
      </c>
    </row>
    <row r="197" spans="1:18" ht="18" customHeight="1">
      <c r="A197" s="155" t="str">
        <f t="shared" ref="A197:A200" si="109">IF(B197="","",$M$3)</f>
        <v/>
      </c>
      <c r="B197" s="155" t="str">
        <f>B186</f>
        <v/>
      </c>
      <c r="C197" s="155" t="str">
        <f>IF(C186="","",$O$10)</f>
        <v/>
      </c>
      <c r="D197" s="153"/>
      <c r="E197" s="157" t="str">
        <f t="shared" si="108"/>
        <v/>
      </c>
      <c r="F197" s="158" t="str">
        <f t="shared" si="106"/>
        <v/>
      </c>
      <c r="G197" s="158" t="str">
        <f t="shared" si="101"/>
        <v/>
      </c>
      <c r="H197" s="131" t="str">
        <f>IF(B186="","",EOMONTH(LOOKUP(2,1/(H167:H181&lt;&gt;""),H167:H181),12))</f>
        <v/>
      </c>
      <c r="I197" s="132" t="str">
        <f t="shared" si="102"/>
        <v/>
      </c>
      <c r="J197" s="133" t="str">
        <f t="shared" si="103"/>
        <v/>
      </c>
      <c r="K197" s="134">
        <f t="shared" si="104"/>
        <v>0</v>
      </c>
      <c r="L197" s="135">
        <f t="shared" si="100"/>
        <v>0</v>
      </c>
      <c r="M197" s="117"/>
      <c r="N197" s="116"/>
      <c r="O197" s="117"/>
      <c r="P197" s="111"/>
    </row>
    <row r="198" spans="1:18" ht="18" customHeight="1" thickBot="1">
      <c r="A198" s="155" t="str">
        <f t="shared" si="109"/>
        <v/>
      </c>
      <c r="B198" s="155" t="str">
        <f>IF(B186="","",SUM(B186,1))</f>
        <v/>
      </c>
      <c r="C198" s="155" t="str">
        <f>IF(C186="","",$O$11)</f>
        <v/>
      </c>
      <c r="D198" s="153"/>
      <c r="E198" s="157" t="str">
        <f t="shared" si="108"/>
        <v/>
      </c>
      <c r="F198" s="158" t="str">
        <f t="shared" si="106"/>
        <v/>
      </c>
      <c r="G198" s="158" t="str">
        <f t="shared" si="101"/>
        <v/>
      </c>
      <c r="H198" s="131" t="str">
        <f>IF(B186="","",EOMONTH(LOOKUP(2,1/(H167:H181&lt;&gt;""),H167:H181),12))</f>
        <v/>
      </c>
      <c r="I198" s="132" t="str">
        <f t="shared" si="102"/>
        <v/>
      </c>
      <c r="J198" s="133" t="str">
        <f t="shared" si="103"/>
        <v/>
      </c>
      <c r="K198" s="134">
        <f t="shared" si="104"/>
        <v>0</v>
      </c>
      <c r="L198" s="135">
        <f t="shared" si="100"/>
        <v>0</v>
      </c>
      <c r="M198" s="117"/>
      <c r="N198" s="116"/>
      <c r="O198" s="117"/>
      <c r="P198" s="111"/>
    </row>
    <row r="199" spans="1:18" ht="18" customHeight="1" thickTop="1">
      <c r="A199" s="155" t="str">
        <f t="shared" si="109"/>
        <v/>
      </c>
      <c r="B199" s="155" t="str">
        <f>IF(B186="","",B198)</f>
        <v/>
      </c>
      <c r="C199" s="155" t="str">
        <f>IF(C186="","",$O$12)</f>
        <v/>
      </c>
      <c r="D199" s="153"/>
      <c r="E199" s="157" t="str">
        <f t="shared" si="108"/>
        <v/>
      </c>
      <c r="F199" s="158" t="str">
        <f t="shared" si="106"/>
        <v/>
      </c>
      <c r="G199" s="158" t="str">
        <f t="shared" si="101"/>
        <v/>
      </c>
      <c r="H199" s="131" t="str">
        <f>IF(B186="","",EOMONTH(LOOKUP(2,1/(H167:H181&lt;&gt;""),H167:H181),12))</f>
        <v/>
      </c>
      <c r="I199" s="132" t="str">
        <f t="shared" si="102"/>
        <v/>
      </c>
      <c r="J199" s="133" t="str">
        <f t="shared" si="103"/>
        <v/>
      </c>
      <c r="K199" s="134">
        <f t="shared" si="104"/>
        <v>0</v>
      </c>
      <c r="L199" s="135">
        <f t="shared" si="100"/>
        <v>0</v>
      </c>
      <c r="M199" s="117"/>
      <c r="N199" s="116"/>
      <c r="O199" s="117"/>
      <c r="P199" s="111"/>
      <c r="Q199" s="174" t="s">
        <v>80</v>
      </c>
      <c r="R199" s="175"/>
    </row>
    <row r="200" spans="1:18" ht="18" customHeight="1" thickBot="1">
      <c r="A200" s="155" t="str">
        <f t="shared" si="109"/>
        <v/>
      </c>
      <c r="B200" s="155" t="str">
        <f>IF(B186="","",B198)</f>
        <v/>
      </c>
      <c r="C200" s="155" t="str">
        <f>IF(C186="","",$O$13)</f>
        <v/>
      </c>
      <c r="D200" s="153"/>
      <c r="E200" s="157" t="str">
        <f t="shared" si="108"/>
        <v/>
      </c>
      <c r="F200" s="158" t="str">
        <f t="shared" si="106"/>
        <v/>
      </c>
      <c r="G200" s="158" t="str">
        <f t="shared" si="101"/>
        <v/>
      </c>
      <c r="H200" s="131" t="str">
        <f>IF(B186="","",EOMONTH(LOOKUP(2,1/(H167:H181&lt;&gt;""),H167:H181),12))</f>
        <v/>
      </c>
      <c r="I200" s="132" t="str">
        <f t="shared" si="102"/>
        <v/>
      </c>
      <c r="J200" s="133" t="str">
        <f t="shared" si="103"/>
        <v/>
      </c>
      <c r="K200" s="134">
        <f t="shared" si="104"/>
        <v>0</v>
      </c>
      <c r="L200" s="135">
        <f t="shared" si="100"/>
        <v>0</v>
      </c>
      <c r="M200" s="117"/>
      <c r="N200" s="116"/>
      <c r="O200" s="117"/>
      <c r="P200" s="111"/>
      <c r="Q200" s="176" t="str">
        <f>IF(F186="","",SUM(G201,R196))</f>
        <v/>
      </c>
      <c r="R200" s="177"/>
    </row>
    <row r="201" spans="1:18" ht="18" customHeight="1" thickTop="1">
      <c r="E201" s="138"/>
      <c r="F201" s="159" t="s">
        <v>79</v>
      </c>
      <c r="G201" s="160">
        <f>SUM(G186:G200)</f>
        <v>0</v>
      </c>
      <c r="H201" s="138"/>
      <c r="I201" s="141"/>
      <c r="J201" s="141"/>
      <c r="K201" s="142"/>
      <c r="L201" s="135">
        <f>SUM(L186:L200)</f>
        <v>0</v>
      </c>
      <c r="M201" s="117"/>
      <c r="N201" s="116"/>
      <c r="O201" s="117"/>
      <c r="P201" s="111"/>
    </row>
  </sheetData>
  <sheetProtection algorithmName="SHA-512" hashValue="nPR1pM+EAhpZrX49wZIX1OLQ3b1umdSN2CSW+JKeC3au1q8g5Bnm05kcdZbGS5zkHwGRwzp+8s1anmSk2BX3bQ==" saltValue="enFSSEsKPIlRsEPg11RDmg==" spinCount="100000" sheet="1" objects="1" scenarios="1"/>
  <mergeCells count="158">
    <mergeCell ref="B6:D6"/>
    <mergeCell ref="B7:D7"/>
    <mergeCell ref="I14:I15"/>
    <mergeCell ref="J14:J15"/>
    <mergeCell ref="B11:D11"/>
    <mergeCell ref="P10:Q11"/>
    <mergeCell ref="B10:D10"/>
    <mergeCell ref="H14:H15"/>
    <mergeCell ref="A14:A15"/>
    <mergeCell ref="B14:D14"/>
    <mergeCell ref="E14:E15"/>
    <mergeCell ref="G14:G15"/>
    <mergeCell ref="F14:F15"/>
    <mergeCell ref="P6:Q7"/>
    <mergeCell ref="A32:A33"/>
    <mergeCell ref="B32:D32"/>
    <mergeCell ref="E32:E33"/>
    <mergeCell ref="G32:G33"/>
    <mergeCell ref="H32:H33"/>
    <mergeCell ref="I32:I33"/>
    <mergeCell ref="J32:J33"/>
    <mergeCell ref="K32:K33"/>
    <mergeCell ref="L32:L33"/>
    <mergeCell ref="F32:F33"/>
    <mergeCell ref="A51:A52"/>
    <mergeCell ref="B51:D51"/>
    <mergeCell ref="E51:E52"/>
    <mergeCell ref="G51:G52"/>
    <mergeCell ref="H51:H52"/>
    <mergeCell ref="Q35:R35"/>
    <mergeCell ref="Q39:R39"/>
    <mergeCell ref="Q47:R47"/>
    <mergeCell ref="Q48:R48"/>
    <mergeCell ref="F51:F52"/>
    <mergeCell ref="H70:H71"/>
    <mergeCell ref="I70:I71"/>
    <mergeCell ref="J70:J71"/>
    <mergeCell ref="K70:K71"/>
    <mergeCell ref="I51:I52"/>
    <mergeCell ref="J51:J52"/>
    <mergeCell ref="K51:K52"/>
    <mergeCell ref="L51:L52"/>
    <mergeCell ref="Q53:R53"/>
    <mergeCell ref="Q54:R54"/>
    <mergeCell ref="Q58:R58"/>
    <mergeCell ref="A89:A90"/>
    <mergeCell ref="B89:D89"/>
    <mergeCell ref="E89:E90"/>
    <mergeCell ref="G89:G90"/>
    <mergeCell ref="F70:F71"/>
    <mergeCell ref="F89:F90"/>
    <mergeCell ref="A70:A71"/>
    <mergeCell ref="B70:D70"/>
    <mergeCell ref="E70:E71"/>
    <mergeCell ref="G70:G71"/>
    <mergeCell ref="I89:I90"/>
    <mergeCell ref="J89:J90"/>
    <mergeCell ref="K89:K90"/>
    <mergeCell ref="L89:L90"/>
    <mergeCell ref="Q73:R73"/>
    <mergeCell ref="Q77:R77"/>
    <mergeCell ref="Q85:R85"/>
    <mergeCell ref="Q86:R86"/>
    <mergeCell ref="H89:H90"/>
    <mergeCell ref="B146:D146"/>
    <mergeCell ref="E146:E147"/>
    <mergeCell ref="F146:F147"/>
    <mergeCell ref="G146:G147"/>
    <mergeCell ref="H146:H147"/>
    <mergeCell ref="I146:I147"/>
    <mergeCell ref="J146:J147"/>
    <mergeCell ref="A108:A109"/>
    <mergeCell ref="B108:D108"/>
    <mergeCell ref="E108:E109"/>
    <mergeCell ref="F108:F109"/>
    <mergeCell ref="G108:G109"/>
    <mergeCell ref="H108:H109"/>
    <mergeCell ref="I108:I109"/>
    <mergeCell ref="J108:J109"/>
    <mergeCell ref="A184:A185"/>
    <mergeCell ref="B184:D184"/>
    <mergeCell ref="E184:E185"/>
    <mergeCell ref="F184:F185"/>
    <mergeCell ref="G184:G185"/>
    <mergeCell ref="H184:H185"/>
    <mergeCell ref="I184:I185"/>
    <mergeCell ref="L146:L147"/>
    <mergeCell ref="Q110:R110"/>
    <mergeCell ref="Q111:R111"/>
    <mergeCell ref="Q115:R115"/>
    <mergeCell ref="Q123:R123"/>
    <mergeCell ref="Q124:R124"/>
    <mergeCell ref="A127:A128"/>
    <mergeCell ref="B127:D127"/>
    <mergeCell ref="E127:E128"/>
    <mergeCell ref="F127:F128"/>
    <mergeCell ref="G127:G128"/>
    <mergeCell ref="H127:H128"/>
    <mergeCell ref="I127:I128"/>
    <mergeCell ref="J127:J128"/>
    <mergeCell ref="K127:K128"/>
    <mergeCell ref="L127:L128"/>
    <mergeCell ref="A146:A147"/>
    <mergeCell ref="A165:A166"/>
    <mergeCell ref="B165:D165"/>
    <mergeCell ref="E165:E166"/>
    <mergeCell ref="F165:F166"/>
    <mergeCell ref="G165:G166"/>
    <mergeCell ref="H165:H166"/>
    <mergeCell ref="I165:I166"/>
    <mergeCell ref="J165:J166"/>
    <mergeCell ref="K165:K166"/>
    <mergeCell ref="S6:T7"/>
    <mergeCell ref="Q167:R167"/>
    <mergeCell ref="Q168:R168"/>
    <mergeCell ref="Q172:R172"/>
    <mergeCell ref="Q180:R180"/>
    <mergeCell ref="Q181:R181"/>
    <mergeCell ref="Q129:R129"/>
    <mergeCell ref="Q130:R130"/>
    <mergeCell ref="Q134:R134"/>
    <mergeCell ref="Q142:R142"/>
    <mergeCell ref="Q143:R143"/>
    <mergeCell ref="Q104:R104"/>
    <mergeCell ref="Q105:R105"/>
    <mergeCell ref="Q66:R66"/>
    <mergeCell ref="Q67:R67"/>
    <mergeCell ref="Q29:R29"/>
    <mergeCell ref="Q148:R148"/>
    <mergeCell ref="Q149:R149"/>
    <mergeCell ref="Q153:R153"/>
    <mergeCell ref="Q161:R161"/>
    <mergeCell ref="Q162:R162"/>
    <mergeCell ref="Q91:R91"/>
    <mergeCell ref="Q92:R92"/>
    <mergeCell ref="Q30:R30"/>
    <mergeCell ref="S10:T11"/>
    <mergeCell ref="J184:J185"/>
    <mergeCell ref="K184:K185"/>
    <mergeCell ref="Q186:R186"/>
    <mergeCell ref="Q187:R187"/>
    <mergeCell ref="Q191:R191"/>
    <mergeCell ref="Q199:R199"/>
    <mergeCell ref="Q200:R200"/>
    <mergeCell ref="K146:K147"/>
    <mergeCell ref="L184:L185"/>
    <mergeCell ref="L165:L166"/>
    <mergeCell ref="K108:K109"/>
    <mergeCell ref="L108:L109"/>
    <mergeCell ref="Q96:R96"/>
    <mergeCell ref="Q72:R72"/>
    <mergeCell ref="L70:L71"/>
    <mergeCell ref="Q34:R34"/>
    <mergeCell ref="K14:K15"/>
    <mergeCell ref="L14:L15"/>
    <mergeCell ref="Q16:R16"/>
    <mergeCell ref="Q17:R17"/>
    <mergeCell ref="Q21:R21"/>
  </mergeCells>
  <phoneticPr fontId="2"/>
  <dataValidations count="3">
    <dataValidation allowBlank="1" sqref="A16:D29 A72:D86 A34:D48 A53:D67 A91:D105 A110:D124 A129:D143 A148:D162 A167:D181 A186:D200" xr:uid="{23406E8D-FDE3-460A-B761-F57CD6D952D8}"/>
    <dataValidation type="list" allowBlank="1" showErrorMessage="1" sqref="E7" xr:uid="{47FC4CB9-321D-4724-883B-1B8DE11FAFBB}">
      <formula1>$O$2:$O$13</formula1>
    </dataValidation>
    <dataValidation type="list" allowBlank="1" showErrorMessage="1" sqref="E6" xr:uid="{E5D8AC19-4638-4468-8FFF-A1D44619972A}">
      <formula1>$N$2:$N$29</formula1>
    </dataValidation>
  </dataValidations>
  <pageMargins left="0.78740157480314965" right="0.39370078740157483" top="0.59055118110236227" bottom="0.59055118110236227" header="0.59055118110236227" footer="0.31496062992125984"/>
  <pageSetup paperSize="9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3</vt:i4>
      </vt:variant>
    </vt:vector>
  </HeadingPairs>
  <TitlesOfParts>
    <vt:vector size="15" baseType="lpstr">
      <vt:lpstr>復興特別所得税 (29.1-3) (2)</vt:lpstr>
      <vt:lpstr>復興特別所得税 (29.1-3)</vt:lpstr>
      <vt:lpstr>復興特別所得税 (28.12まで)</vt:lpstr>
      <vt:lpstr>復興特別所得税 (iwaya) (29)</vt:lpstr>
      <vt:lpstr>復興特別所得税 (iwaya) (28)</vt:lpstr>
      <vt:lpstr>自由 (iwaya) (1.6) (定例のみ)</vt:lpstr>
      <vt:lpstr>自由 (iwaya) (1.5) (2)</vt:lpstr>
      <vt:lpstr>自由 (iwaya) (1.6)</vt:lpstr>
      <vt:lpstr>積立シミュレーション</vt:lpstr>
      <vt:lpstr>積立例1万円（西谷康一）  (岩谷) (2)</vt:lpstr>
      <vt:lpstr>Sheet1</vt:lpstr>
      <vt:lpstr>Sheet1 (2)</vt:lpstr>
      <vt:lpstr>Sheet1!Print_Area</vt:lpstr>
      <vt:lpstr>'Sheet1 (2)'!Print_Area</vt:lpstr>
      <vt:lpstr>積立シミュレーション!Print_Area</vt:lpstr>
    </vt:vector>
  </TitlesOfParts>
  <Company>共済組合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114</dc:creator>
  <cp:lastModifiedBy>中野 達弥</cp:lastModifiedBy>
  <cp:lastPrinted>2024-01-16T01:53:24Z</cp:lastPrinted>
  <dcterms:created xsi:type="dcterms:W3CDTF">2008-12-01T08:42:09Z</dcterms:created>
  <dcterms:modified xsi:type="dcterms:W3CDTF">2024-02-16T07:43:45Z</dcterms:modified>
</cp:coreProperties>
</file>